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jim\Desktop\Анар\для АСУ\"/>
    </mc:Choice>
  </mc:AlternateContent>
  <bookViews>
    <workbookView xWindow="0" yWindow="0" windowWidth="23040" windowHeight="9216" activeTab="1"/>
  </bookViews>
  <sheets>
    <sheet name="ЖЭУ  за ноябрь 2023г." sheetId="3" r:id="rId1"/>
    <sheet name="БЭУ за ноябрь 2023г." sheetId="19" r:id="rId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8" i="19" l="1"/>
  <c r="F108" i="19"/>
  <c r="H108" i="19" s="1"/>
  <c r="G107" i="19"/>
  <c r="F107" i="19"/>
  <c r="H107" i="19" s="1"/>
  <c r="F105" i="19"/>
  <c r="G104" i="19"/>
  <c r="F104" i="19"/>
  <c r="H104" i="19" s="1"/>
  <c r="H103" i="19"/>
  <c r="G103" i="19"/>
  <c r="F103" i="19"/>
  <c r="G101" i="19"/>
  <c r="H101" i="19" s="1"/>
  <c r="F101" i="19"/>
  <c r="G99" i="19"/>
  <c r="F99" i="19"/>
  <c r="H99" i="19" s="1"/>
  <c r="G97" i="19"/>
  <c r="F97" i="19"/>
  <c r="H97" i="19" s="1"/>
  <c r="H96" i="19"/>
  <c r="G96" i="19"/>
  <c r="F96" i="19"/>
  <c r="G94" i="19"/>
  <c r="H94" i="19" s="1"/>
  <c r="F94" i="19"/>
  <c r="G92" i="19"/>
  <c r="F92" i="19"/>
  <c r="H92" i="19" s="1"/>
  <c r="F90" i="19"/>
  <c r="G89" i="19"/>
  <c r="F89" i="19"/>
  <c r="H89" i="19" s="1"/>
  <c r="G87" i="19"/>
  <c r="F87" i="19"/>
  <c r="H87" i="19" s="1"/>
  <c r="H86" i="19"/>
  <c r="G86" i="19"/>
  <c r="F86" i="19"/>
  <c r="G85" i="19"/>
  <c r="H85" i="19" s="1"/>
  <c r="F85" i="19"/>
  <c r="F83" i="19"/>
  <c r="F81" i="19"/>
  <c r="H79" i="19"/>
  <c r="G79" i="19"/>
  <c r="F79" i="19"/>
  <c r="G78" i="19"/>
  <c r="H78" i="19" s="1"/>
  <c r="F78" i="19"/>
  <c r="G77" i="19"/>
  <c r="F77" i="19"/>
  <c r="H77" i="19" s="1"/>
  <c r="G76" i="19"/>
  <c r="F76" i="19"/>
  <c r="H76" i="19" s="1"/>
  <c r="H75" i="19"/>
  <c r="G75" i="19"/>
  <c r="F75" i="19"/>
  <c r="G73" i="19"/>
  <c r="H73" i="19" s="1"/>
  <c r="F73" i="19"/>
  <c r="G72" i="19"/>
  <c r="F72" i="19"/>
  <c r="H72" i="19" s="1"/>
  <c r="G70" i="19"/>
  <c r="F70" i="19"/>
  <c r="H70" i="19" s="1"/>
  <c r="H69" i="19"/>
  <c r="G69" i="19"/>
  <c r="F69" i="19"/>
  <c r="G68" i="19"/>
  <c r="H68" i="19" s="1"/>
  <c r="F68" i="19"/>
  <c r="G66" i="19"/>
  <c r="F66" i="19"/>
  <c r="H66" i="19" s="1"/>
  <c r="G65" i="19"/>
  <c r="F65" i="19"/>
  <c r="H65" i="19" s="1"/>
  <c r="H64" i="19"/>
  <c r="G64" i="19"/>
  <c r="F64" i="19"/>
  <c r="G63" i="19"/>
  <c r="H63" i="19" s="1"/>
  <c r="F63" i="19"/>
  <c r="G62" i="19"/>
  <c r="F62" i="19"/>
  <c r="H62" i="19" s="1"/>
  <c r="G61" i="19"/>
  <c r="F61" i="19"/>
  <c r="H61" i="19" s="1"/>
  <c r="H60" i="19"/>
  <c r="G60" i="19"/>
  <c r="F60" i="19"/>
  <c r="G59" i="19"/>
  <c r="H59" i="19" s="1"/>
  <c r="F59" i="19"/>
  <c r="G58" i="19"/>
  <c r="F58" i="19"/>
  <c r="H58" i="19" s="1"/>
  <c r="G57" i="19"/>
  <c r="F57" i="19"/>
  <c r="H57" i="19" s="1"/>
  <c r="H56" i="19"/>
  <c r="G56" i="19"/>
  <c r="F56" i="19"/>
  <c r="G49" i="19"/>
  <c r="H49" i="19" s="1"/>
  <c r="G47" i="19"/>
  <c r="H47" i="19" s="1"/>
  <c r="G44" i="19"/>
  <c r="H44" i="19" s="1"/>
  <c r="G43" i="19"/>
  <c r="H43" i="19" s="1"/>
  <c r="G42" i="19"/>
  <c r="H42" i="19" s="1"/>
  <c r="G41" i="19"/>
  <c r="H41" i="19" s="1"/>
  <c r="G39" i="19"/>
  <c r="H39" i="19" s="1"/>
  <c r="G37" i="19"/>
  <c r="H37" i="19" s="1"/>
  <c r="G34" i="19"/>
  <c r="H34" i="19" s="1"/>
  <c r="G33" i="19"/>
  <c r="H33" i="19" s="1"/>
  <c r="G31" i="19"/>
  <c r="H31" i="19" s="1"/>
  <c r="G30" i="19"/>
  <c r="H30" i="19" s="1"/>
  <c r="G29" i="19"/>
  <c r="H29" i="19" s="1"/>
  <c r="G28" i="19"/>
  <c r="H28" i="19" s="1"/>
  <c r="G27" i="19"/>
  <c r="H27" i="19" s="1"/>
  <c r="G26" i="19"/>
  <c r="H26" i="19" s="1"/>
  <c r="G25" i="19"/>
  <c r="H25" i="19" s="1"/>
  <c r="G23" i="19"/>
  <c r="H23" i="19" s="1"/>
  <c r="G21" i="19"/>
  <c r="H21" i="19" s="1"/>
  <c r="G20" i="19"/>
  <c r="H20" i="19" s="1"/>
  <c r="G19" i="19"/>
  <c r="H19" i="19" s="1"/>
  <c r="G16" i="19"/>
  <c r="H16" i="19" s="1"/>
  <c r="G15" i="19"/>
  <c r="H15" i="19" s="1"/>
  <c r="G14" i="19"/>
  <c r="H14" i="19" s="1"/>
  <c r="G13" i="19"/>
  <c r="H13" i="19" s="1"/>
  <c r="G12" i="19"/>
  <c r="H12" i="19" s="1"/>
  <c r="G11" i="19"/>
  <c r="H11" i="19" s="1"/>
  <c r="G87" i="3" l="1"/>
  <c r="G30" i="3"/>
  <c r="G93" i="3"/>
  <c r="G94" i="3"/>
  <c r="G92" i="3"/>
  <c r="G100" i="3"/>
  <c r="G99" i="3"/>
  <c r="G98" i="3"/>
  <c r="G24" i="3"/>
  <c r="G90" i="3"/>
  <c r="G28" i="3"/>
  <c r="G21" i="3"/>
  <c r="G20" i="3"/>
  <c r="G107" i="3"/>
  <c r="G106" i="3"/>
  <c r="G105" i="3"/>
  <c r="G104" i="3"/>
  <c r="G26" i="3"/>
  <c r="G17" i="3"/>
  <c r="G16" i="3"/>
  <c r="G102" i="3"/>
  <c r="G22" i="3"/>
  <c r="G96" i="3"/>
  <c r="G15" i="3"/>
  <c r="G44" i="3"/>
  <c r="G69" i="3"/>
  <c r="G68" i="3"/>
  <c r="G19" i="3"/>
  <c r="G18" i="3"/>
  <c r="G85" i="3"/>
  <c r="G84" i="3"/>
  <c r="G53" i="3"/>
  <c r="G52" i="3"/>
  <c r="G51" i="3"/>
  <c r="G50" i="3"/>
  <c r="G49" i="3"/>
  <c r="G46" i="3"/>
  <c r="G47" i="3"/>
  <c r="G43" i="3"/>
  <c r="G39" i="3"/>
  <c r="G38" i="3"/>
  <c r="G66" i="3"/>
  <c r="G65" i="3"/>
  <c r="G13" i="3"/>
  <c r="G12" i="3"/>
  <c r="G78" i="3"/>
  <c r="G77" i="3"/>
  <c r="G76" i="3"/>
  <c r="G75" i="3"/>
  <c r="G74" i="3"/>
  <c r="G73" i="3"/>
  <c r="G72" i="3"/>
  <c r="G71" i="3"/>
  <c r="G35" i="3"/>
  <c r="G34" i="3"/>
  <c r="G82" i="3"/>
  <c r="G81" i="3"/>
  <c r="G80" i="3"/>
  <c r="G37" i="3"/>
  <c r="G36" i="3"/>
  <c r="G48" i="3" l="1"/>
  <c r="N47" i="3" l="1"/>
  <c r="N46" i="3"/>
  <c r="H34" i="3" l="1"/>
  <c r="H35" i="3" l="1"/>
  <c r="G25" i="3" l="1"/>
  <c r="H25" i="3" l="1"/>
  <c r="H49" i="3"/>
  <c r="H48" i="3"/>
  <c r="G41" i="3"/>
  <c r="G40" i="3"/>
  <c r="H89" i="3" l="1"/>
  <c r="H88" i="3"/>
  <c r="H70" i="3"/>
  <c r="G59" i="3"/>
  <c r="H53" i="3"/>
  <c r="H52" i="3"/>
  <c r="H51" i="3"/>
  <c r="H50" i="3"/>
  <c r="H47" i="3"/>
  <c r="H46" i="3"/>
  <c r="H44" i="3"/>
  <c r="H43" i="3"/>
  <c r="H41" i="3"/>
  <c r="H40" i="3"/>
  <c r="H39" i="3"/>
  <c r="H38" i="3"/>
  <c r="H37" i="3"/>
  <c r="H36" i="3"/>
  <c r="H31" i="3"/>
  <c r="H30" i="3"/>
  <c r="H28" i="3"/>
  <c r="H26" i="3"/>
  <c r="H24" i="3"/>
  <c r="H22" i="3"/>
  <c r="H21" i="3"/>
  <c r="H20" i="3"/>
  <c r="H19" i="3"/>
  <c r="H18" i="3"/>
  <c r="H17" i="3"/>
  <c r="H16" i="3"/>
  <c r="H15" i="3"/>
  <c r="H13" i="3"/>
  <c r="H12" i="3"/>
  <c r="H68" i="3" l="1"/>
  <c r="H92" i="3"/>
  <c r="H84" i="3"/>
  <c r="H66" i="3"/>
  <c r="H100" i="3"/>
  <c r="H93" i="3"/>
  <c r="H94" i="3"/>
  <c r="H98" i="3"/>
  <c r="H81" i="3"/>
  <c r="H85" i="3"/>
  <c r="H71" i="3"/>
  <c r="H80" i="3"/>
  <c r="H73" i="3"/>
  <c r="H82" i="3"/>
  <c r="H104" i="3"/>
  <c r="H69" i="3"/>
  <c r="H75" i="3"/>
  <c r="H106" i="3"/>
  <c r="H77" i="3"/>
  <c r="H72" i="3"/>
  <c r="H74" i="3"/>
  <c r="H76" i="3"/>
  <c r="H78" i="3"/>
  <c r="H87" i="3"/>
  <c r="H90" i="3"/>
  <c r="H96" i="3"/>
  <c r="H99" i="3"/>
  <c r="H102" i="3"/>
  <c r="H105" i="3"/>
  <c r="H107" i="3"/>
  <c r="H65" i="3"/>
</calcChain>
</file>

<file path=xl/comments1.xml><?xml version="1.0" encoding="utf-8"?>
<comments xmlns="http://schemas.openxmlformats.org/spreadsheetml/2006/main">
  <authors>
    <author>Токешева</author>
    <author>Rejim</author>
  </authors>
  <commentList>
    <comment ref="G22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ВЛ-110кВ Центр 110
</t>
        </r>
      </text>
    </comment>
    <comment ref="G24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110 КВ ПР   никольская 110</t>
        </r>
      </text>
    </comment>
    <comment ref="G26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ПС Улытау выд 110 КВ ПР</t>
        </r>
      </text>
    </comment>
    <comment ref="G28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ВЛ-10 №1
</t>
        </r>
      </text>
    </comment>
    <comment ref="G34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линия Барсенгир 220
ПС Жайрем</t>
        </r>
      </text>
    </comment>
    <comment ref="G35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линия Жезк220</t>
        </r>
      </text>
    </comment>
    <comment ref="G46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   ВЛ-35 Клыч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47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    ВЛ-35 Ктай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49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ввод-35кВ Т-2 ЯЧ.14
</t>
        </r>
      </text>
    </comment>
    <comment ref="G50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 жайрем</t>
        </r>
        <r>
          <rPr>
            <sz val="9"/>
            <color indexed="81"/>
            <rFont val="Tahoma"/>
            <family val="2"/>
            <charset val="204"/>
          </rPr>
          <t xml:space="preserve">
ФОРПОСТ</t>
        </r>
      </text>
    </comment>
    <comment ref="G51" authorId="1" shapeId="0">
      <text>
        <r>
          <rPr>
            <b/>
            <sz val="9"/>
            <color indexed="81"/>
            <rFont val="Tahoma"/>
            <charset val="1"/>
          </rPr>
          <t>Rejim:</t>
        </r>
        <r>
          <rPr>
            <sz val="9"/>
            <color indexed="81"/>
            <rFont val="Tahoma"/>
            <charset val="1"/>
          </rPr>
          <t xml:space="preserve">
жайрем форпост ниже цифра</t>
        </r>
      </text>
    </comment>
    <comment ref="G52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ВЕСТ 
</t>
        </r>
      </text>
    </comment>
    <comment ref="G53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ОРКЕН</t>
        </r>
      </text>
    </comment>
    <comment ref="G68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143 минус кумколь 5
</t>
        </r>
      </text>
    </comment>
    <comment ref="G84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   ВЛ-35 Клыч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85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    ВЛ-35 Ктай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87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расход по сч</t>
        </r>
      </text>
    </comment>
    <comment ref="G93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Никольская-Сары Кенгир от кегок цифра в ведомости сарыкенир
</t>
        </r>
      </text>
    </comment>
  </commentList>
</comments>
</file>

<file path=xl/comments2.xml><?xml version="1.0" encoding="utf-8"?>
<comments xmlns="http://schemas.openxmlformats.org/spreadsheetml/2006/main">
  <authors>
    <author>РСГ2</author>
    <author>Режим</author>
  </authors>
  <commentList>
    <comment ref="B9" authorId="0" shapeId="0">
      <text>
        <r>
          <rPr>
            <b/>
            <sz val="9"/>
            <color indexed="81"/>
            <rFont val="Tahoma"/>
            <family val="2"/>
            <charset val="204"/>
          </rPr>
          <t>РСГ2:</t>
        </r>
        <r>
          <rPr>
            <sz val="9"/>
            <color indexed="81"/>
            <rFont val="Tahoma"/>
            <family val="2"/>
            <charset val="204"/>
          </rPr>
          <t xml:space="preserve">
беру расход по верхним кайрактам</t>
        </r>
      </text>
    </comment>
    <comment ref="B12" authorId="0" shapeId="0">
      <text>
        <r>
          <rPr>
            <b/>
            <sz val="9"/>
            <color indexed="81"/>
            <rFont val="Tahoma"/>
            <family val="2"/>
            <charset val="204"/>
          </rPr>
          <t>РСГ2:</t>
        </r>
        <r>
          <rPr>
            <sz val="9"/>
            <color indexed="81"/>
            <rFont val="Tahoma"/>
            <family val="2"/>
            <charset val="204"/>
          </rPr>
          <t xml:space="preserve">
Беру Вв-110 кВ(если они мало накрутили беру сумму 35+10кВ</t>
        </r>
      </text>
    </comment>
    <comment ref="G14" authorId="1" shapeId="0">
      <text>
        <r>
          <rPr>
            <b/>
            <sz val="9"/>
            <color indexed="81"/>
            <rFont val="Tahoma"/>
            <family val="2"/>
            <charset val="204"/>
          </rPr>
          <t>Режим:</t>
        </r>
        <r>
          <rPr>
            <sz val="9"/>
            <color indexed="81"/>
            <rFont val="Tahoma"/>
            <family val="2"/>
            <charset val="204"/>
          </rPr>
          <t xml:space="preserve">
Л-116
</t>
        </r>
      </text>
    </comment>
    <comment ref="G15" authorId="1" shapeId="0">
      <text>
        <r>
          <rPr>
            <b/>
            <sz val="9"/>
            <color indexed="81"/>
            <rFont val="Tahoma"/>
            <family val="2"/>
            <charset val="204"/>
          </rPr>
          <t>Режим:</t>
        </r>
        <r>
          <rPr>
            <sz val="9"/>
            <color indexed="81"/>
            <rFont val="Tahoma"/>
            <family val="2"/>
            <charset val="204"/>
          </rPr>
          <t xml:space="preserve">
Л-115
</t>
        </r>
      </text>
    </comment>
    <comment ref="G16" authorId="0" shapeId="0">
      <text>
        <r>
          <rPr>
            <b/>
            <sz val="9"/>
            <color indexed="81"/>
            <rFont val="Tahoma"/>
            <family val="2"/>
            <charset val="204"/>
          </rPr>
          <t>РСГ2:</t>
        </r>
        <r>
          <rPr>
            <sz val="9"/>
            <color indexed="81"/>
            <rFont val="Tahoma"/>
            <family val="2"/>
            <charset val="204"/>
          </rPr>
          <t xml:space="preserve">
110 кВ</t>
        </r>
      </text>
    </comment>
    <comment ref="G17" authorId="0" shapeId="0">
      <text>
        <r>
          <rPr>
            <b/>
            <sz val="9"/>
            <color indexed="81"/>
            <rFont val="Tahoma"/>
            <family val="2"/>
            <charset val="204"/>
          </rPr>
          <t>РСГ2:</t>
        </r>
        <r>
          <rPr>
            <sz val="9"/>
            <color indexed="81"/>
            <rFont val="Tahoma"/>
            <family val="2"/>
            <charset val="204"/>
          </rPr>
          <t xml:space="preserve">
35+10 кВ</t>
        </r>
      </text>
    </comment>
    <comment ref="G19" authorId="0" shapeId="0">
      <text>
        <r>
          <rPr>
            <b/>
            <sz val="9"/>
            <color indexed="81"/>
            <rFont val="Tahoma"/>
            <family val="2"/>
            <charset val="204"/>
          </rPr>
          <t>РСГ2:</t>
        </r>
        <r>
          <rPr>
            <sz val="9"/>
            <color indexed="81"/>
            <rFont val="Tahoma"/>
            <family val="2"/>
            <charset val="204"/>
          </rPr>
          <t xml:space="preserve">
беру Вв-10 кВ</t>
        </r>
      </text>
    </comment>
    <comment ref="G38" authorId="1" shapeId="0">
      <text>
        <r>
          <rPr>
            <b/>
            <sz val="9"/>
            <color indexed="81"/>
            <rFont val="Tahoma"/>
            <family val="2"/>
            <charset val="204"/>
          </rPr>
          <t>Режим:</t>
        </r>
        <r>
          <rPr>
            <sz val="9"/>
            <color indexed="81"/>
            <rFont val="Tahoma"/>
            <family val="2"/>
            <charset val="204"/>
          </rPr>
          <t xml:space="preserve">
Л-45
</t>
        </r>
      </text>
    </comment>
    <comment ref="G39" authorId="1" shapeId="0">
      <text>
        <r>
          <rPr>
            <b/>
            <sz val="9"/>
            <color indexed="81"/>
            <rFont val="Tahoma"/>
            <family val="2"/>
            <charset val="204"/>
          </rPr>
          <t>Режим:</t>
        </r>
        <r>
          <rPr>
            <sz val="9"/>
            <color indexed="81"/>
            <rFont val="Tahoma"/>
            <family val="2"/>
            <charset val="204"/>
          </rPr>
          <t xml:space="preserve">
Л-45
</t>
        </r>
      </text>
    </comment>
    <comment ref="G42" authorId="1" shapeId="0">
      <text>
        <r>
          <rPr>
            <b/>
            <sz val="9"/>
            <color indexed="81"/>
            <rFont val="Tahoma"/>
            <family val="2"/>
            <charset val="204"/>
          </rPr>
          <t>Режим:</t>
        </r>
        <r>
          <rPr>
            <sz val="9"/>
            <color indexed="81"/>
            <rFont val="Tahoma"/>
            <family val="2"/>
            <charset val="204"/>
          </rPr>
          <t xml:space="preserve">
Л-91</t>
        </r>
      </text>
    </comment>
    <comment ref="F56" authorId="0" shapeId="0">
      <text>
        <r>
          <rPr>
            <b/>
            <sz val="9"/>
            <color indexed="81"/>
            <rFont val="Tahoma"/>
            <family val="2"/>
            <charset val="204"/>
          </rPr>
          <t>номинальный ток</t>
        </r>
      </text>
    </comment>
    <comment ref="G64" authorId="1" shapeId="0">
      <text>
        <r>
          <rPr>
            <b/>
            <sz val="9"/>
            <color indexed="81"/>
            <rFont val="Tahoma"/>
            <family val="2"/>
            <charset val="204"/>
          </rPr>
          <t>Режим:</t>
        </r>
        <r>
          <rPr>
            <sz val="9"/>
            <color indexed="81"/>
            <rFont val="Tahoma"/>
            <family val="2"/>
            <charset val="204"/>
          </rPr>
          <t xml:space="preserve">
с баланса по Балхашской</t>
        </r>
      </text>
    </comment>
    <comment ref="G65" authorId="1" shapeId="0">
      <text>
        <r>
          <rPr>
            <b/>
            <sz val="9"/>
            <color indexed="81"/>
            <rFont val="Tahoma"/>
            <family val="2"/>
            <charset val="204"/>
          </rPr>
          <t>Режим:</t>
        </r>
        <r>
          <rPr>
            <sz val="9"/>
            <color indexed="81"/>
            <rFont val="Tahoma"/>
            <family val="2"/>
            <charset val="204"/>
          </rPr>
          <t xml:space="preserve">
с баланса по Балхашской</t>
        </r>
      </text>
    </comment>
  </commentList>
</comments>
</file>

<file path=xl/sharedStrings.xml><?xml version="1.0" encoding="utf-8"?>
<sst xmlns="http://schemas.openxmlformats.org/spreadsheetml/2006/main" count="494" uniqueCount="311">
  <si>
    <t>Приложение № 2</t>
  </si>
  <si>
    <t>Форма</t>
  </si>
  <si>
    <t>Информация о пропускной способности энергопередающей организации</t>
  </si>
  <si>
    <t>Таблица 1:</t>
  </si>
  <si>
    <t>п/п №</t>
  </si>
  <si>
    <t xml:space="preserve">Наименование ПС </t>
  </si>
  <si>
    <t>№ ввода</t>
  </si>
  <si>
    <t>Адрес нахождения</t>
  </si>
  <si>
    <t>Уровень напряжения, кВ</t>
  </si>
  <si>
    <t>Мощность трансформатора, кВА</t>
  </si>
  <si>
    <t>Загрузка, март МВт</t>
  </si>
  <si>
    <t>Свободная мощность, МВт</t>
  </si>
  <si>
    <t>ПС  СТРОИТЕЛЬН.</t>
  </si>
  <si>
    <t>Т - 1</t>
  </si>
  <si>
    <t xml:space="preserve">Шетский район  </t>
  </si>
  <si>
    <t>220/35/6</t>
  </si>
  <si>
    <t>РЕЗЕРВ</t>
  </si>
  <si>
    <t>Т - 2</t>
  </si>
  <si>
    <t>Т - 3</t>
  </si>
  <si>
    <t>35/6</t>
  </si>
  <si>
    <t>ПС  1 - 110</t>
  </si>
  <si>
    <t>город Приозерск</t>
  </si>
  <si>
    <t>110/35/10</t>
  </si>
  <si>
    <t>ПС  2 - 110</t>
  </si>
  <si>
    <t>ПС  3 - 110</t>
  </si>
  <si>
    <t>ПС  4 - 110</t>
  </si>
  <si>
    <t>Джамбульская обл.</t>
  </si>
  <si>
    <t>35/10</t>
  </si>
  <si>
    <t>ПС  5 - 110</t>
  </si>
  <si>
    <t>110/10</t>
  </si>
  <si>
    <t>ПС  6 - 110</t>
  </si>
  <si>
    <t>ПС  7 - 110</t>
  </si>
  <si>
    <t>Поселок Жамши</t>
  </si>
  <si>
    <t>ПС  9 - 110</t>
  </si>
  <si>
    <t>Поселок Актогай</t>
  </si>
  <si>
    <t>ПС  10 - 110</t>
  </si>
  <si>
    <t>ПС  11 - 110</t>
  </si>
  <si>
    <t>Поселок Орта-Дересин</t>
  </si>
  <si>
    <t>ПС  13 - 110</t>
  </si>
  <si>
    <t>Поселок Акжартас</t>
  </si>
  <si>
    <t>ПС  16 - 110</t>
  </si>
  <si>
    <t>Город Балхаш</t>
  </si>
  <si>
    <t>ПС  17 - 110</t>
  </si>
  <si>
    <t>ПС  18 - 110</t>
  </si>
  <si>
    <t>Поселок Шетск</t>
  </si>
  <si>
    <t>110/35/11</t>
  </si>
  <si>
    <t>ПС  БЕСКЕМПИР</t>
  </si>
  <si>
    <t>Джамбульская обл.Маинкумский район</t>
  </si>
  <si>
    <t>10/6</t>
  </si>
  <si>
    <t>ПС  2 - 35</t>
  </si>
  <si>
    <t>Актогайский район</t>
  </si>
  <si>
    <t>ПС  9 - 35</t>
  </si>
  <si>
    <t>ПС  15 - 35</t>
  </si>
  <si>
    <t>ПС  17 - 35</t>
  </si>
  <si>
    <t>ПС  20 - 35</t>
  </si>
  <si>
    <t>Поселок Гульшад</t>
  </si>
  <si>
    <t>ПС  21 - 35</t>
  </si>
  <si>
    <t>Поселок Чубар-Тюбек</t>
  </si>
  <si>
    <t>ПС  24 - 35</t>
  </si>
  <si>
    <t>Поселок Торангылык</t>
  </si>
  <si>
    <t>ПС  25 - 35</t>
  </si>
  <si>
    <t>Поселок Тасарал</t>
  </si>
  <si>
    <t>10/0,23</t>
  </si>
  <si>
    <t>искл. из схемы</t>
  </si>
  <si>
    <t>ПС  51 - 35</t>
  </si>
  <si>
    <t>Поселок Алгазы</t>
  </si>
  <si>
    <t>ПС  МЫН - АРАЛ</t>
  </si>
  <si>
    <t>Таблица 2:</t>
  </si>
  <si>
    <t xml:space="preserve">Наименование ВЛ </t>
  </si>
  <si>
    <t>Протяженность ВЛ, км</t>
  </si>
  <si>
    <t>Сечение ВЛ, мм</t>
  </si>
  <si>
    <t>Номинальная пропускная способность, МВт</t>
  </si>
  <si>
    <t>Загрузка, март, МВт</t>
  </si>
  <si>
    <t>ПС Балхашская</t>
  </si>
  <si>
    <t>Л-103</t>
  </si>
  <si>
    <t>Л-104</t>
  </si>
  <si>
    <t>Л-105</t>
  </si>
  <si>
    <t>Л-106</t>
  </si>
  <si>
    <t>150 , 70</t>
  </si>
  <si>
    <t>Л-107</t>
  </si>
  <si>
    <t>Л-110</t>
  </si>
  <si>
    <t>Л-111</t>
  </si>
  <si>
    <t>Л-117</t>
  </si>
  <si>
    <t>Л-118</t>
  </si>
  <si>
    <t>Л-130</t>
  </si>
  <si>
    <t>Л-54</t>
  </si>
  <si>
    <t>ПС Акчатау</t>
  </si>
  <si>
    <t>Л-120</t>
  </si>
  <si>
    <t>Л-122</t>
  </si>
  <si>
    <t>Л-124</t>
  </si>
  <si>
    <t>ПС Агадырь</t>
  </si>
  <si>
    <t>Л-126</t>
  </si>
  <si>
    <t>Л-55А</t>
  </si>
  <si>
    <t>ПС Кайракты</t>
  </si>
  <si>
    <t>Л-В.Кайракты</t>
  </si>
  <si>
    <t>Л-49</t>
  </si>
  <si>
    <t>Л-55</t>
  </si>
  <si>
    <t>Л-56</t>
  </si>
  <si>
    <t>Л-57</t>
  </si>
  <si>
    <t>ПС Жарык сетевая</t>
  </si>
  <si>
    <t>Л-57А</t>
  </si>
  <si>
    <t>ПС Бескемпир</t>
  </si>
  <si>
    <t>отпайка от Л-140</t>
  </si>
  <si>
    <t>ПС Моинты</t>
  </si>
  <si>
    <t>Л-128</t>
  </si>
  <si>
    <t>Л-81</t>
  </si>
  <si>
    <t>ПС 18-110 "Аксу-Аюлы"</t>
  </si>
  <si>
    <t>Л-129</t>
  </si>
  <si>
    <t>Л-51А</t>
  </si>
  <si>
    <t>ПС Саяк</t>
  </si>
  <si>
    <t>Л-85</t>
  </si>
  <si>
    <t>ПС 16-110 "Свинокомплекс"</t>
  </si>
  <si>
    <t>Л-92</t>
  </si>
  <si>
    <t>70, 120</t>
  </si>
  <si>
    <t>ПС 2-110</t>
  </si>
  <si>
    <t>Л-46</t>
  </si>
  <si>
    <t>Л-91</t>
  </si>
  <si>
    <t>ПС 3-110</t>
  </si>
  <si>
    <t>Л-45</t>
  </si>
  <si>
    <t>ПС 5-110</t>
  </si>
  <si>
    <t>Л-34</t>
  </si>
  <si>
    <t>ПС 1-110</t>
  </si>
  <si>
    <t>Л-37</t>
  </si>
  <si>
    <t>Л-38</t>
  </si>
  <si>
    <t>Л-39</t>
  </si>
  <si>
    <t>ПС 9-110 "Актогай"</t>
  </si>
  <si>
    <t>Л-71</t>
  </si>
  <si>
    <t>Л-74</t>
  </si>
  <si>
    <t>Приложение №2</t>
  </si>
  <si>
    <t>10,5*105%=11,1кВ</t>
  </si>
  <si>
    <t>6,3*105%=6,62кВ</t>
  </si>
  <si>
    <t>Лето не выше 100%</t>
  </si>
  <si>
    <t>АО "Жезказгансая РЭК"</t>
  </si>
  <si>
    <t>Таблица №1</t>
  </si>
  <si>
    <t>10,5кВ</t>
  </si>
  <si>
    <t>Адрес</t>
  </si>
  <si>
    <t>Уровень</t>
  </si>
  <si>
    <t>Мощность</t>
  </si>
  <si>
    <t>Загрузка,</t>
  </si>
  <si>
    <t>Свободная</t>
  </si>
  <si>
    <t>6,3кВ</t>
  </si>
  <si>
    <t>№</t>
  </si>
  <si>
    <t>Наименование  ПС</t>
  </si>
  <si>
    <t>нахождения</t>
  </si>
  <si>
    <t>напряжения</t>
  </si>
  <si>
    <t>трансформатора</t>
  </si>
  <si>
    <t>мощность</t>
  </si>
  <si>
    <t>кВ</t>
  </si>
  <si>
    <t>КВА</t>
  </si>
  <si>
    <t>МВт</t>
  </si>
  <si>
    <t>I.</t>
  </si>
  <si>
    <t xml:space="preserve">Центральный  РЭС  </t>
  </si>
  <si>
    <t>ПС- 220кВ</t>
  </si>
  <si>
    <t>1.</t>
  </si>
  <si>
    <t>220/110/10кВ Барсенгир</t>
  </si>
  <si>
    <t>АТ-1</t>
  </si>
  <si>
    <t>231,4/112,3/11,1</t>
  </si>
  <si>
    <t>АТ-2</t>
  </si>
  <si>
    <t>231,8/112,4/11,1</t>
  </si>
  <si>
    <t>ПС- 110кВ</t>
  </si>
  <si>
    <t>2.</t>
  </si>
  <si>
    <t>110/35/10кВ Сары-Кенгир</t>
  </si>
  <si>
    <t>115,3/34,9/11,1</t>
  </si>
  <si>
    <t>3.</t>
  </si>
  <si>
    <t xml:space="preserve">110/10кВ "Д" </t>
  </si>
  <si>
    <t>Т-1</t>
  </si>
  <si>
    <t>Т-2</t>
  </si>
  <si>
    <t>4.</t>
  </si>
  <si>
    <t>110/6кВ Кумколь-1</t>
  </si>
  <si>
    <t>110,9/6,62</t>
  </si>
  <si>
    <t>111,0/6,62</t>
  </si>
  <si>
    <t>5.</t>
  </si>
  <si>
    <t>110/35/10кВ Городская</t>
  </si>
  <si>
    <t>110,8/33,9/11,1</t>
  </si>
  <si>
    <t>33,9/11,1</t>
  </si>
  <si>
    <t>6.</t>
  </si>
  <si>
    <t xml:space="preserve">110/35/6кВ Актас  </t>
  </si>
  <si>
    <t>121,2/36,6/6,62</t>
  </si>
  <si>
    <t>откл.</t>
  </si>
  <si>
    <t>-</t>
  </si>
  <si>
    <t>7.</t>
  </si>
  <si>
    <t xml:space="preserve">110/35/6кВ Центральная </t>
  </si>
  <si>
    <t>115,7/35,8/6,62</t>
  </si>
  <si>
    <t>8.</t>
  </si>
  <si>
    <t xml:space="preserve">110/35/10кВ Улытау  </t>
  </si>
  <si>
    <t>Ввод110</t>
  </si>
  <si>
    <t>116,7/35,4/11,1</t>
  </si>
  <si>
    <t>ПС-35кВ</t>
  </si>
  <si>
    <t>9.</t>
  </si>
  <si>
    <t xml:space="preserve">35/10кВ Талап </t>
  </si>
  <si>
    <t>35,3/11,1</t>
  </si>
  <si>
    <t>10.</t>
  </si>
  <si>
    <t xml:space="preserve">35/10кВ Урожайная  </t>
  </si>
  <si>
    <t>Ввод 10-кВ</t>
  </si>
  <si>
    <t>11.</t>
  </si>
  <si>
    <t xml:space="preserve">35/10кВ Копколь </t>
  </si>
  <si>
    <t>II.</t>
  </si>
  <si>
    <t>Каражальский  РЭС</t>
  </si>
  <si>
    <t>12.</t>
  </si>
  <si>
    <t xml:space="preserve">220/35/6кВ Жайрем </t>
  </si>
  <si>
    <t>228,5/35,2/6,62</t>
  </si>
  <si>
    <t>227,5/35,2/6,62</t>
  </si>
  <si>
    <t>13.</t>
  </si>
  <si>
    <t xml:space="preserve">220/35/10кВЖана-Арка </t>
  </si>
  <si>
    <t>234,5/34,1/11,1</t>
  </si>
  <si>
    <t>225,3/35,4/11,1</t>
  </si>
  <si>
    <t>14.</t>
  </si>
  <si>
    <t xml:space="preserve">220/35/6кВ Каражальская </t>
  </si>
  <si>
    <t>225,4/34,0/6,62</t>
  </si>
  <si>
    <t>227,0/34,4/6,62</t>
  </si>
  <si>
    <t>110/35/6кВ</t>
  </si>
  <si>
    <t>Т-3</t>
  </si>
  <si>
    <t>128,1/33,9</t>
  </si>
  <si>
    <t>Т-4</t>
  </si>
  <si>
    <t>128,1/34,4</t>
  </si>
  <si>
    <t>ПС-110кВ</t>
  </si>
  <si>
    <t>15.</t>
  </si>
  <si>
    <t xml:space="preserve">110/10кВ ГПП-1 </t>
  </si>
  <si>
    <t>128,1/11,1</t>
  </si>
  <si>
    <t>16.</t>
  </si>
  <si>
    <t>Нура-Талды  110/35/10кВ</t>
  </si>
  <si>
    <t>10кВ</t>
  </si>
  <si>
    <t>в папке Нура Талды (Кызылгой по 110кВ</t>
  </si>
  <si>
    <t>17.</t>
  </si>
  <si>
    <t xml:space="preserve">35/6кВ Клыч  </t>
  </si>
  <si>
    <t>34,6/6,62</t>
  </si>
  <si>
    <t>18.</t>
  </si>
  <si>
    <t xml:space="preserve">35/6кВ Ктай  </t>
  </si>
  <si>
    <t>33,9/6,62</t>
  </si>
  <si>
    <t>19.</t>
  </si>
  <si>
    <t xml:space="preserve">35/10кВ Кзыл-Жар  </t>
  </si>
  <si>
    <t>35,2/11,1</t>
  </si>
  <si>
    <t>20.</t>
  </si>
  <si>
    <t>35кВ Женис</t>
  </si>
  <si>
    <t>35кВ Жайрем</t>
  </si>
  <si>
    <t>21.</t>
  </si>
  <si>
    <t xml:space="preserve">35/0,4кВ Скважина №250  </t>
  </si>
  <si>
    <t>22.</t>
  </si>
  <si>
    <t>ТАБЛИЦА  2</t>
  </si>
  <si>
    <t>Предельно-допустимые нагрузки на транзитные линии 35-110кВ</t>
  </si>
  <si>
    <t xml:space="preserve"> АО "Жезказганская РЭК"</t>
  </si>
  <si>
    <t>Наименование ВЛ</t>
  </si>
  <si>
    <t>Протя-</t>
  </si>
  <si>
    <t>Сечение</t>
  </si>
  <si>
    <t>Напря-</t>
  </si>
  <si>
    <t>Предельно</t>
  </si>
  <si>
    <t>Загрузка</t>
  </si>
  <si>
    <t xml:space="preserve">Свободная </t>
  </si>
  <si>
    <t>женность</t>
  </si>
  <si>
    <t>жение</t>
  </si>
  <si>
    <t xml:space="preserve">допустимая </t>
  </si>
  <si>
    <t>ВЛ.км</t>
  </si>
  <si>
    <t>ВЛ,мм</t>
  </si>
  <si>
    <t>Жезказганский энергоузел</t>
  </si>
  <si>
    <t>пс Барсенгир</t>
  </si>
  <si>
    <t>Каракаин-1</t>
  </si>
  <si>
    <t>АС-95,120</t>
  </si>
  <si>
    <t>Каракаин-2</t>
  </si>
  <si>
    <t>пс Кумколь</t>
  </si>
  <si>
    <t>ВЛ-143</t>
  </si>
  <si>
    <t>АС-95</t>
  </si>
  <si>
    <t>ВЛ-144</t>
  </si>
  <si>
    <t>пс Жайрем</t>
  </si>
  <si>
    <t>Берлистик</t>
  </si>
  <si>
    <t>АС-50,70</t>
  </si>
  <si>
    <t>Кенжебай</t>
  </si>
  <si>
    <t>АС-70</t>
  </si>
  <si>
    <t>Женис</t>
  </si>
  <si>
    <t>АС-50</t>
  </si>
  <si>
    <t>КзылЖар</t>
  </si>
  <si>
    <t>Карьер левая</t>
  </si>
  <si>
    <t>АС-70,150</t>
  </si>
  <si>
    <t>Карьер правая</t>
  </si>
  <si>
    <t>Тузколь левая</t>
  </si>
  <si>
    <t>Тузколь  правая</t>
  </si>
  <si>
    <t>пс ЖанаАрка</t>
  </si>
  <si>
    <t>Бидаик</t>
  </si>
  <si>
    <t>Интумак</t>
  </si>
  <si>
    <t>Дружба</t>
  </si>
  <si>
    <t>пс Каражальская</t>
  </si>
  <si>
    <t>Клыч</t>
  </si>
  <si>
    <t>АС-120</t>
  </si>
  <si>
    <t>Ктай</t>
  </si>
  <si>
    <t>ПС Жарык</t>
  </si>
  <si>
    <t>Бурма</t>
  </si>
  <si>
    <t>Шетская</t>
  </si>
  <si>
    <t>ЖТЭЦ</t>
  </si>
  <si>
    <t>"8Ц" Талап</t>
  </si>
  <si>
    <t>пс Никольская</t>
  </si>
  <si>
    <t>"15С"</t>
  </si>
  <si>
    <t>Сары-Кенгир</t>
  </si>
  <si>
    <t>Центральная</t>
  </si>
  <si>
    <t>АС-50,70,95</t>
  </si>
  <si>
    <t>пс СарыКенгир</t>
  </si>
  <si>
    <t>Алгабас</t>
  </si>
  <si>
    <t>ПС Центральная</t>
  </si>
  <si>
    <t>Актас</t>
  </si>
  <si>
    <t>УлыТау</t>
  </si>
  <si>
    <t>Байконур</t>
  </si>
  <si>
    <t>пс Актас</t>
  </si>
  <si>
    <t>пс Улытау</t>
  </si>
  <si>
    <t>Кара-Кенгир</t>
  </si>
  <si>
    <t>Сарлык</t>
  </si>
  <si>
    <t>Кургасын</t>
  </si>
  <si>
    <t>АС-50,95</t>
  </si>
  <si>
    <t>6/0,4кВ ТП№47 КиКС</t>
  </si>
  <si>
    <t>Ж Е З К А З Г А Н С К И Й     Э Н Е Р Г О У З Е Л</t>
  </si>
  <si>
    <t xml:space="preserve"> </t>
  </si>
  <si>
    <t>Поселок Шашубай Актогайск.район</t>
  </si>
  <si>
    <t>за ноябрь 2023г.</t>
  </si>
  <si>
    <t>Ноябрь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</si>
</sst>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.00\ _₽_-;\-* #,##0.00\ _₽_-;_-* &quot;-&quot;??\ _₽_-;_-@_-"/>
    <numFmt numFmtId="165" formatCode="_-* #,##0.000\ _₽_-;\-* #,##0.000\ _₽_-;_-* &quot;-&quot;??\ _₽_-;_-@_-"/>
    <numFmt numFmtId="166" formatCode="_-* #,##0\ _₽_-;\-* #,##0\ _₽_-;_-* &quot;-&quot;??\ _₽_-;_-@_-"/>
    <numFmt numFmtId="167" formatCode="_-* #,##0.00_р_._-;\-* #,##0.00_р_._-;_-* &quot;-&quot;??_р_._-;_-@_-"/>
    <numFmt numFmtId="168" formatCode="_-* #,##0.000_р_._-;\-* #,##0.000_р_._-;_-* &quot;-&quot;??_р_._-;_-@_-"/>
    <numFmt numFmtId="169" formatCode="0.000"/>
    <numFmt numFmtId="170" formatCode="0.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 Cyr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4"/>
      <name val="Times New Roman"/>
      <family val="1"/>
      <charset val="204"/>
    </font>
    <font>
      <b/>
      <sz val="15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Times New Roman"/>
      <family val="1"/>
    </font>
    <font>
      <sz val="11"/>
      <color rgb="FFFF0000"/>
      <name val="Calibri"/>
      <family val="2"/>
      <charset val="204"/>
    </font>
    <font>
      <sz val="1"/>
      <name val="Arial Cyr"/>
      <charset val="204"/>
    </font>
    <font>
      <sz val="14"/>
      <name val="Arial Cyr"/>
      <charset val="204"/>
    </font>
    <font>
      <sz val="11"/>
      <color rgb="FF0070C0"/>
      <name val="Calibri"/>
      <family val="2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3" tint="0.59999389629810485"/>
      <name val="Calibri"/>
      <family val="2"/>
      <charset val="204"/>
    </font>
    <font>
      <b/>
      <sz val="12"/>
      <color indexed="12"/>
      <name val="Times New Roman"/>
      <family val="1"/>
      <charset val="204"/>
    </font>
    <font>
      <sz val="12"/>
      <name val="Arial Cyr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6" fillId="0" borderId="0"/>
  </cellStyleXfs>
  <cellXfs count="181">
    <xf numFmtId="0" fontId="0" fillId="0" borderId="0" xfId="0"/>
    <xf numFmtId="0" fontId="2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165" fontId="2" fillId="0" borderId="0" xfId="1" applyNumberFormat="1" applyFont="1" applyFill="1"/>
    <xf numFmtId="165" fontId="2" fillId="0" borderId="0" xfId="1" applyNumberFormat="1" applyFont="1" applyFill="1" applyAlignment="1">
      <alignment horizontal="right"/>
    </xf>
    <xf numFmtId="0" fontId="2" fillId="0" borderId="1" xfId="0" applyFont="1" applyFill="1" applyBorder="1" applyAlignment="1">
      <alignment horizontal="center" vertical="center" wrapText="1"/>
    </xf>
    <xf numFmtId="165" fontId="2" fillId="0" borderId="1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/>
    </xf>
    <xf numFmtId="165" fontId="2" fillId="0" borderId="2" xfId="1" applyNumberFormat="1" applyFont="1" applyFill="1" applyBorder="1"/>
    <xf numFmtId="165" fontId="2" fillId="0" borderId="2" xfId="1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center"/>
    </xf>
    <xf numFmtId="0" fontId="4" fillId="0" borderId="3" xfId="0" applyFont="1" applyFill="1" applyBorder="1"/>
    <xf numFmtId="0" fontId="4" fillId="0" borderId="3" xfId="0" applyFont="1" applyFill="1" applyBorder="1" applyAlignment="1">
      <alignment horizontal="center"/>
    </xf>
    <xf numFmtId="165" fontId="2" fillId="0" borderId="3" xfId="1" applyNumberFormat="1" applyFont="1" applyFill="1" applyBorder="1"/>
    <xf numFmtId="165" fontId="2" fillId="0" borderId="3" xfId="1" applyNumberFormat="1" applyFont="1" applyFill="1" applyBorder="1" applyAlignment="1">
      <alignment horizontal="right"/>
    </xf>
    <xf numFmtId="0" fontId="2" fillId="0" borderId="4" xfId="0" applyFont="1" applyFill="1" applyBorder="1" applyAlignment="1">
      <alignment horizontal="center"/>
    </xf>
    <xf numFmtId="0" fontId="4" fillId="0" borderId="4" xfId="0" applyFont="1" applyFill="1" applyBorder="1"/>
    <xf numFmtId="0" fontId="4" fillId="0" borderId="4" xfId="0" applyFont="1" applyFill="1" applyBorder="1" applyAlignment="1">
      <alignment horizontal="center"/>
    </xf>
    <xf numFmtId="165" fontId="2" fillId="0" borderId="4" xfId="1" applyNumberFormat="1" applyFont="1" applyFill="1" applyBorder="1" applyAlignment="1">
      <alignment horizontal="right"/>
    </xf>
    <xf numFmtId="165" fontId="2" fillId="0" borderId="4" xfId="1" applyNumberFormat="1" applyFont="1" applyFill="1" applyBorder="1"/>
    <xf numFmtId="0" fontId="2" fillId="0" borderId="5" xfId="0" applyFont="1" applyFill="1" applyBorder="1" applyAlignment="1">
      <alignment horizontal="center"/>
    </xf>
    <xf numFmtId="0" fontId="4" fillId="0" borderId="5" xfId="0" applyFont="1" applyFill="1" applyBorder="1"/>
    <xf numFmtId="0" fontId="4" fillId="0" borderId="5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165" fontId="2" fillId="0" borderId="5" xfId="1" applyNumberFormat="1" applyFont="1" applyFill="1" applyBorder="1"/>
    <xf numFmtId="165" fontId="2" fillId="0" borderId="5" xfId="1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6" xfId="0" applyFont="1" applyFill="1" applyBorder="1" applyAlignment="1">
      <alignment horizontal="center"/>
    </xf>
    <xf numFmtId="165" fontId="2" fillId="0" borderId="1" xfId="1" applyNumberFormat="1" applyFont="1" applyFill="1" applyBorder="1"/>
    <xf numFmtId="165" fontId="2" fillId="0" borderId="1" xfId="1" applyNumberFormat="1" applyFont="1" applyFill="1" applyBorder="1" applyAlignment="1">
      <alignment horizontal="right"/>
    </xf>
    <xf numFmtId="165" fontId="2" fillId="0" borderId="7" xfId="1" applyNumberFormat="1" applyFont="1" applyFill="1" applyBorder="1"/>
    <xf numFmtId="0" fontId="4" fillId="0" borderId="8" xfId="0" applyFont="1" applyFill="1" applyBorder="1" applyAlignment="1">
      <alignment horizontal="center"/>
    </xf>
    <xf numFmtId="165" fontId="2" fillId="0" borderId="9" xfId="1" applyNumberFormat="1" applyFont="1" applyFill="1" applyBorder="1"/>
    <xf numFmtId="0" fontId="4" fillId="0" borderId="1" xfId="0" applyFont="1" applyFill="1" applyBorder="1" applyAlignment="1">
      <alignment horizontal="center" wrapText="1"/>
    </xf>
    <xf numFmtId="165" fontId="2" fillId="0" borderId="7" xfId="1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49" fontId="2" fillId="0" borderId="4" xfId="0" applyNumberFormat="1" applyFont="1" applyFill="1" applyBorder="1" applyAlignment="1">
      <alignment horizontal="center"/>
    </xf>
    <xf numFmtId="165" fontId="2" fillId="0" borderId="9" xfId="1" applyNumberFormat="1" applyFont="1" applyFill="1" applyBorder="1" applyAlignment="1">
      <alignment horizontal="right"/>
    </xf>
    <xf numFmtId="164" fontId="4" fillId="0" borderId="2" xfId="1" applyFont="1" applyFill="1" applyBorder="1"/>
    <xf numFmtId="166" fontId="4" fillId="0" borderId="2" xfId="1" applyNumberFormat="1" applyFont="1" applyFill="1" applyBorder="1" applyAlignment="1">
      <alignment horizontal="center"/>
    </xf>
    <xf numFmtId="168" fontId="4" fillId="0" borderId="2" xfId="2" applyNumberFormat="1" applyFont="1" applyFill="1" applyBorder="1"/>
    <xf numFmtId="168" fontId="4" fillId="0" borderId="3" xfId="2" applyNumberFormat="1" applyFont="1" applyFill="1" applyBorder="1"/>
    <xf numFmtId="164" fontId="4" fillId="0" borderId="3" xfId="1" applyFont="1" applyFill="1" applyBorder="1"/>
    <xf numFmtId="166" fontId="4" fillId="0" borderId="3" xfId="1" applyNumberFormat="1" applyFont="1" applyFill="1" applyBorder="1" applyAlignment="1">
      <alignment horizontal="center"/>
    </xf>
    <xf numFmtId="164" fontId="4" fillId="0" borderId="3" xfId="1" applyFont="1" applyFill="1" applyBorder="1" applyAlignment="1">
      <alignment horizontal="left"/>
    </xf>
    <xf numFmtId="164" fontId="4" fillId="0" borderId="4" xfId="1" applyFont="1" applyFill="1" applyBorder="1"/>
    <xf numFmtId="166" fontId="4" fillId="0" borderId="4" xfId="1" applyNumberFormat="1" applyFont="1" applyFill="1" applyBorder="1" applyAlignment="1">
      <alignment horizontal="center"/>
    </xf>
    <xf numFmtId="168" fontId="4" fillId="0" borderId="4" xfId="2" applyNumberFormat="1" applyFont="1" applyFill="1" applyBorder="1"/>
    <xf numFmtId="164" fontId="4" fillId="0" borderId="1" xfId="1" applyFont="1" applyFill="1" applyBorder="1"/>
    <xf numFmtId="166" fontId="4" fillId="0" borderId="1" xfId="1" applyNumberFormat="1" applyFont="1" applyFill="1" applyBorder="1" applyAlignment="1">
      <alignment horizontal="center"/>
    </xf>
    <xf numFmtId="164" fontId="4" fillId="0" borderId="2" xfId="1" applyFont="1" applyFill="1" applyBorder="1" applyAlignment="1">
      <alignment horizontal="left"/>
    </xf>
    <xf numFmtId="164" fontId="4" fillId="0" borderId="1" xfId="1" applyFont="1" applyFill="1" applyBorder="1" applyAlignment="1">
      <alignment horizontal="left"/>
    </xf>
    <xf numFmtId="164" fontId="4" fillId="0" borderId="4" xfId="1" applyFont="1" applyFill="1" applyBorder="1" applyAlignment="1">
      <alignment horizontal="left"/>
    </xf>
    <xf numFmtId="168" fontId="4" fillId="0" borderId="1" xfId="2" applyNumberFormat="1" applyFont="1" applyFill="1" applyBorder="1"/>
    <xf numFmtId="168" fontId="4" fillId="0" borderId="1" xfId="2" applyNumberFormat="1" applyFont="1" applyFill="1" applyBorder="1" applyAlignment="1">
      <alignment horizontal="right"/>
    </xf>
    <xf numFmtId="168" fontId="4" fillId="0" borderId="7" xfId="2" applyNumberFormat="1" applyFont="1" applyFill="1" applyBorder="1"/>
    <xf numFmtId="164" fontId="2" fillId="0" borderId="4" xfId="1" applyFont="1" applyFill="1" applyBorder="1"/>
    <xf numFmtId="166" fontId="2" fillId="0" borderId="4" xfId="1" applyNumberFormat="1" applyFont="1" applyFill="1" applyBorder="1"/>
    <xf numFmtId="164" fontId="2" fillId="0" borderId="1" xfId="1" applyFont="1" applyFill="1" applyBorder="1"/>
    <xf numFmtId="166" fontId="2" fillId="0" borderId="1" xfId="1" applyNumberFormat="1" applyFont="1" applyFill="1" applyBorder="1"/>
    <xf numFmtId="164" fontId="2" fillId="0" borderId="2" xfId="1" applyFont="1" applyFill="1" applyBorder="1"/>
    <xf numFmtId="166" fontId="2" fillId="0" borderId="2" xfId="1" applyNumberFormat="1" applyFont="1" applyFill="1" applyBorder="1"/>
    <xf numFmtId="164" fontId="2" fillId="0" borderId="3" xfId="1" applyFont="1" applyFill="1" applyBorder="1"/>
    <xf numFmtId="166" fontId="2" fillId="0" borderId="3" xfId="1" applyNumberFormat="1" applyFont="1" applyFill="1" applyBorder="1"/>
    <xf numFmtId="0" fontId="2" fillId="0" borderId="0" xfId="0" applyFont="1" applyAlignment="1">
      <alignment horizontal="center"/>
    </xf>
    <xf numFmtId="0" fontId="11" fillId="2" borderId="0" xfId="3" applyFont="1" applyFill="1" applyAlignment="1">
      <alignment horizontal="right"/>
    </xf>
    <xf numFmtId="0" fontId="4" fillId="2" borderId="0" xfId="3" applyFont="1" applyFill="1" applyAlignment="1">
      <alignment horizontal="right"/>
    </xf>
    <xf numFmtId="0" fontId="4" fillId="2" borderId="0" xfId="3" applyFont="1" applyFill="1" applyBorder="1" applyAlignment="1">
      <alignment horizontal="right"/>
    </xf>
    <xf numFmtId="0" fontId="4" fillId="2" borderId="18" xfId="3" applyFont="1" applyFill="1" applyBorder="1" applyAlignment="1">
      <alignment horizontal="center"/>
    </xf>
    <xf numFmtId="0" fontId="4" fillId="2" borderId="6" xfId="3" applyFont="1" applyFill="1" applyBorder="1" applyAlignment="1">
      <alignment horizontal="center"/>
    </xf>
    <xf numFmtId="0" fontId="4" fillId="2" borderId="8" xfId="3" applyFont="1" applyFill="1" applyBorder="1" applyAlignment="1">
      <alignment horizontal="center"/>
    </xf>
    <xf numFmtId="169" fontId="4" fillId="2" borderId="8" xfId="3" applyNumberFormat="1" applyFont="1" applyFill="1" applyBorder="1" applyAlignment="1">
      <alignment horizontal="center"/>
    </xf>
    <xf numFmtId="0" fontId="4" fillId="2" borderId="21" xfId="3" applyFont="1" applyFill="1" applyBorder="1"/>
    <xf numFmtId="169" fontId="4" fillId="2" borderId="0" xfId="3" applyNumberFormat="1" applyFont="1" applyFill="1" applyBorder="1" applyAlignment="1">
      <alignment horizontal="center"/>
    </xf>
    <xf numFmtId="0" fontId="4" fillId="2" borderId="0" xfId="3" applyFont="1" applyFill="1"/>
    <xf numFmtId="0" fontId="4" fillId="2" borderId="1" xfId="3" applyFont="1" applyFill="1" applyBorder="1" applyAlignment="1">
      <alignment horizontal="center"/>
    </xf>
    <xf numFmtId="168" fontId="4" fillId="0" borderId="9" xfId="2" applyNumberFormat="1" applyFont="1" applyFill="1" applyBorder="1"/>
    <xf numFmtId="0" fontId="9" fillId="2" borderId="0" xfId="3" applyFont="1" applyFill="1" applyAlignment="1">
      <alignment horizontal="left" indent="8"/>
    </xf>
    <xf numFmtId="0" fontId="10" fillId="2" borderId="0" xfId="3" applyFont="1" applyFill="1" applyAlignment="1">
      <alignment horizontal="center"/>
    </xf>
    <xf numFmtId="0" fontId="12" fillId="2" borderId="0" xfId="3" applyFont="1" applyFill="1" applyAlignment="1"/>
    <xf numFmtId="0" fontId="6" fillId="2" borderId="0" xfId="3" applyFill="1"/>
    <xf numFmtId="0" fontId="13" fillId="2" borderId="0" xfId="3" applyFont="1" applyFill="1"/>
    <xf numFmtId="0" fontId="14" fillId="2" borderId="0" xfId="3" applyFont="1" applyFill="1"/>
    <xf numFmtId="0" fontId="11" fillId="2" borderId="0" xfId="3" applyFont="1" applyFill="1" applyAlignment="1">
      <alignment horizontal="left" indent="1"/>
    </xf>
    <xf numFmtId="0" fontId="11" fillId="2" borderId="0" xfId="3" applyFont="1" applyFill="1" applyAlignment="1">
      <alignment horizontal="left" indent="5"/>
    </xf>
    <xf numFmtId="0" fontId="4" fillId="2" borderId="0" xfId="3" applyFont="1" applyFill="1" applyAlignment="1">
      <alignment horizontal="left"/>
    </xf>
    <xf numFmtId="0" fontId="15" fillId="2" borderId="0" xfId="3" applyFont="1" applyFill="1"/>
    <xf numFmtId="0" fontId="4" fillId="2" borderId="0" xfId="3" applyFont="1" applyFill="1" applyBorder="1"/>
    <xf numFmtId="0" fontId="11" fillId="2" borderId="0" xfId="3" applyFont="1" applyFill="1" applyBorder="1" applyAlignment="1">
      <alignment horizontal="center"/>
    </xf>
    <xf numFmtId="0" fontId="4" fillId="2" borderId="0" xfId="3" applyFont="1" applyFill="1" applyBorder="1" applyAlignment="1">
      <alignment horizontal="center"/>
    </xf>
    <xf numFmtId="0" fontId="16" fillId="2" borderId="0" xfId="3" applyFont="1" applyFill="1" applyBorder="1" applyAlignment="1"/>
    <xf numFmtId="0" fontId="4" fillId="2" borderId="10" xfId="3" applyFont="1" applyFill="1" applyBorder="1"/>
    <xf numFmtId="0" fontId="4" fillId="2" borderId="11" xfId="3" applyFont="1" applyFill="1" applyBorder="1"/>
    <xf numFmtId="0" fontId="4" fillId="2" borderId="11" xfId="3" applyFont="1" applyFill="1" applyBorder="1" applyAlignment="1">
      <alignment horizontal="center"/>
    </xf>
    <xf numFmtId="0" fontId="4" fillId="2" borderId="12" xfId="3" applyFont="1" applyFill="1" applyBorder="1" applyAlignment="1">
      <alignment horizontal="center"/>
    </xf>
    <xf numFmtId="0" fontId="4" fillId="2" borderId="13" xfId="3" applyFont="1" applyFill="1" applyBorder="1"/>
    <xf numFmtId="0" fontId="4" fillId="2" borderId="14" xfId="3" applyFont="1" applyFill="1" applyBorder="1" applyAlignment="1">
      <alignment horizontal="center"/>
    </xf>
    <xf numFmtId="0" fontId="4" fillId="2" borderId="15" xfId="3" applyFont="1" applyFill="1" applyBorder="1" applyAlignment="1">
      <alignment horizontal="center"/>
    </xf>
    <xf numFmtId="0" fontId="4" fillId="2" borderId="16" xfId="3" applyFont="1" applyFill="1" applyBorder="1"/>
    <xf numFmtId="0" fontId="4" fillId="2" borderId="17" xfId="3" applyFont="1" applyFill="1" applyBorder="1"/>
    <xf numFmtId="0" fontId="4" fillId="2" borderId="17" xfId="3" applyFont="1" applyFill="1" applyBorder="1" applyAlignment="1">
      <alignment horizontal="center"/>
    </xf>
    <xf numFmtId="0" fontId="4" fillId="2" borderId="19" xfId="3" applyFont="1" applyFill="1" applyBorder="1"/>
    <xf numFmtId="0" fontId="4" fillId="2" borderId="6" xfId="3" applyFont="1" applyFill="1" applyBorder="1"/>
    <xf numFmtId="0" fontId="4" fillId="2" borderId="6" xfId="3" applyFont="1" applyFill="1" applyBorder="1" applyAlignment="1">
      <alignment horizontal="left"/>
    </xf>
    <xf numFmtId="0" fontId="6" fillId="2" borderId="20" xfId="3" applyFill="1" applyBorder="1"/>
    <xf numFmtId="0" fontId="5" fillId="2" borderId="21" xfId="3" applyFont="1" applyFill="1" applyBorder="1"/>
    <xf numFmtId="0" fontId="17" fillId="2" borderId="8" xfId="3" applyFont="1" applyFill="1" applyBorder="1"/>
    <xf numFmtId="0" fontId="4" fillId="2" borderId="8" xfId="3" applyFont="1" applyFill="1" applyBorder="1" applyAlignment="1">
      <alignment horizontal="left"/>
    </xf>
    <xf numFmtId="0" fontId="4" fillId="2" borderId="8" xfId="3" applyFont="1" applyFill="1" applyBorder="1"/>
    <xf numFmtId="0" fontId="6" fillId="2" borderId="22" xfId="3" applyFill="1" applyBorder="1"/>
    <xf numFmtId="0" fontId="5" fillId="2" borderId="8" xfId="3" applyFont="1" applyFill="1" applyBorder="1"/>
    <xf numFmtId="0" fontId="18" fillId="2" borderId="8" xfId="3" applyFont="1" applyFill="1" applyBorder="1"/>
    <xf numFmtId="169" fontId="6" fillId="2" borderId="22" xfId="3" applyNumberFormat="1" applyFill="1" applyBorder="1" applyAlignment="1">
      <alignment horizontal="center"/>
    </xf>
    <xf numFmtId="169" fontId="6" fillId="2" borderId="0" xfId="3" applyNumberFormat="1" applyFill="1"/>
    <xf numFmtId="169" fontId="19" fillId="2" borderId="0" xfId="3" applyNumberFormat="1" applyFont="1" applyFill="1"/>
    <xf numFmtId="170" fontId="4" fillId="2" borderId="8" xfId="3" applyNumberFormat="1" applyFont="1" applyFill="1" applyBorder="1" applyAlignment="1">
      <alignment horizontal="center"/>
    </xf>
    <xf numFmtId="2" fontId="6" fillId="2" borderId="0" xfId="3" applyNumberFormat="1" applyFill="1"/>
    <xf numFmtId="0" fontId="20" fillId="2" borderId="21" xfId="3" applyFont="1" applyFill="1" applyBorder="1"/>
    <xf numFmtId="0" fontId="4" fillId="2" borderId="23" xfId="3" applyFont="1" applyFill="1" applyBorder="1"/>
    <xf numFmtId="0" fontId="4" fillId="2" borderId="24" xfId="3" applyFont="1" applyFill="1" applyBorder="1" applyAlignment="1">
      <alignment horizontal="left"/>
    </xf>
    <xf numFmtId="0" fontId="4" fillId="2" borderId="24" xfId="3" applyFont="1" applyFill="1" applyBorder="1"/>
    <xf numFmtId="0" fontId="4" fillId="2" borderId="24" xfId="3" applyFont="1" applyFill="1" applyBorder="1" applyAlignment="1">
      <alignment horizontal="center"/>
    </xf>
    <xf numFmtId="169" fontId="6" fillId="2" borderId="25" xfId="3" applyNumberForma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169" fontId="6" fillId="2" borderId="0" xfId="3" applyNumberFormat="1" applyFill="1" applyBorder="1" applyAlignment="1">
      <alignment horizontal="center"/>
    </xf>
    <xf numFmtId="0" fontId="4" fillId="2" borderId="0" xfId="3" applyFont="1" applyFill="1" applyAlignment="1">
      <alignment horizontal="center"/>
    </xf>
    <xf numFmtId="0" fontId="9" fillId="2" borderId="0" xfId="3" applyFont="1" applyFill="1" applyAlignment="1">
      <alignment horizontal="center"/>
    </xf>
    <xf numFmtId="0" fontId="9" fillId="2" borderId="0" xfId="3" applyFont="1" applyFill="1" applyAlignment="1">
      <alignment horizontal="left"/>
    </xf>
    <xf numFmtId="0" fontId="11" fillId="2" borderId="0" xfId="3" applyFont="1" applyFill="1" applyAlignment="1">
      <alignment horizontal="left"/>
    </xf>
    <xf numFmtId="0" fontId="11" fillId="2" borderId="0" xfId="3" applyFont="1" applyFill="1" applyAlignment="1">
      <alignment horizontal="center"/>
    </xf>
    <xf numFmtId="0" fontId="4" fillId="2" borderId="7" xfId="3" applyFont="1" applyFill="1" applyBorder="1" applyAlignment="1">
      <alignment horizontal="center"/>
    </xf>
    <xf numFmtId="2" fontId="4" fillId="2" borderId="7" xfId="3" applyNumberFormat="1" applyFont="1" applyFill="1" applyBorder="1" applyAlignment="1">
      <alignment horizontal="center"/>
    </xf>
    <xf numFmtId="0" fontId="4" fillId="2" borderId="7" xfId="3" applyFont="1" applyFill="1" applyBorder="1" applyAlignment="1">
      <alignment horizontal="center" wrapText="1"/>
    </xf>
    <xf numFmtId="0" fontId="4" fillId="2" borderId="5" xfId="3" applyFont="1" applyFill="1" applyBorder="1" applyAlignment="1">
      <alignment horizontal="center"/>
    </xf>
    <xf numFmtId="2" fontId="4" fillId="2" borderId="5" xfId="3" applyNumberFormat="1" applyFont="1" applyFill="1" applyBorder="1" applyAlignment="1">
      <alignment horizontal="center"/>
    </xf>
    <xf numFmtId="0" fontId="4" fillId="2" borderId="1" xfId="3" applyFont="1" applyFill="1" applyBorder="1"/>
    <xf numFmtId="2" fontId="4" fillId="2" borderId="1" xfId="3" applyNumberFormat="1" applyFont="1" applyFill="1" applyBorder="1" applyAlignment="1">
      <alignment horizontal="center"/>
    </xf>
    <xf numFmtId="0" fontId="4" fillId="2" borderId="27" xfId="3" applyFont="1" applyFill="1" applyBorder="1"/>
    <xf numFmtId="0" fontId="4" fillId="2" borderId="26" xfId="3" applyFont="1" applyFill="1" applyBorder="1"/>
    <xf numFmtId="0" fontId="4" fillId="2" borderId="26" xfId="3" applyFont="1" applyFill="1" applyBorder="1" applyAlignment="1">
      <alignment horizontal="center"/>
    </xf>
    <xf numFmtId="2" fontId="4" fillId="2" borderId="26" xfId="3" applyNumberFormat="1" applyFont="1" applyFill="1" applyBorder="1" applyAlignment="1">
      <alignment horizontal="center"/>
    </xf>
    <xf numFmtId="0" fontId="4" fillId="2" borderId="28" xfId="3" applyFont="1" applyFill="1" applyBorder="1"/>
    <xf numFmtId="0" fontId="5" fillId="2" borderId="29" xfId="3" applyFont="1" applyFill="1" applyBorder="1"/>
    <xf numFmtId="0" fontId="5" fillId="2" borderId="29" xfId="3" applyFont="1" applyFill="1" applyBorder="1" applyAlignment="1">
      <alignment horizontal="center"/>
    </xf>
    <xf numFmtId="2" fontId="4" fillId="2" borderId="29" xfId="3" applyNumberFormat="1" applyFont="1" applyFill="1" applyBorder="1" applyAlignment="1">
      <alignment horizontal="center"/>
    </xf>
    <xf numFmtId="0" fontId="21" fillId="2" borderId="0" xfId="3" applyFont="1" applyFill="1" applyBorder="1"/>
    <xf numFmtId="0" fontId="21" fillId="2" borderId="30" xfId="3" applyFont="1" applyFill="1" applyBorder="1"/>
    <xf numFmtId="169" fontId="4" fillId="2" borderId="22" xfId="3" applyNumberFormat="1" applyFont="1" applyFill="1" applyBorder="1" applyAlignment="1">
      <alignment horizontal="center"/>
    </xf>
    <xf numFmtId="0" fontId="5" fillId="2" borderId="8" xfId="3" applyFont="1" applyFill="1" applyBorder="1" applyAlignment="1">
      <alignment horizontal="center"/>
    </xf>
    <xf numFmtId="0" fontId="19" fillId="2" borderId="0" xfId="3" applyFont="1" applyFill="1"/>
    <xf numFmtId="169" fontId="4" fillId="2" borderId="25" xfId="3" applyNumberFormat="1" applyFont="1" applyFill="1" applyBorder="1" applyAlignment="1">
      <alignment horizontal="center"/>
    </xf>
    <xf numFmtId="168" fontId="4" fillId="0" borderId="5" xfId="2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/>
    <xf numFmtId="168" fontId="5" fillId="0" borderId="1" xfId="0" applyNumberFormat="1" applyFont="1" applyFill="1" applyBorder="1"/>
    <xf numFmtId="168" fontId="4" fillId="0" borderId="9" xfId="2" applyNumberFormat="1" applyFont="1" applyFill="1" applyBorder="1" applyAlignment="1">
      <alignment horizontal="right"/>
    </xf>
    <xf numFmtId="168" fontId="4" fillId="0" borderId="4" xfId="2" applyNumberFormat="1" applyFont="1" applyFill="1" applyBorder="1" applyAlignment="1">
      <alignment horizontal="right"/>
    </xf>
    <xf numFmtId="165" fontId="2" fillId="0" borderId="31" xfId="1" applyNumberFormat="1" applyFont="1" applyFill="1" applyBorder="1"/>
    <xf numFmtId="169" fontId="4" fillId="3" borderId="8" xfId="3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168" fontId="4" fillId="0" borderId="31" xfId="2" applyNumberFormat="1" applyFont="1" applyFill="1" applyBorder="1"/>
    <xf numFmtId="0" fontId="11" fillId="2" borderId="0" xfId="3" applyFont="1" applyFill="1" applyAlignment="1">
      <alignment horizontal="right"/>
    </xf>
    <xf numFmtId="169" fontId="4" fillId="2" borderId="24" xfId="3" applyNumberFormat="1" applyFont="1" applyFill="1" applyBorder="1" applyAlignment="1">
      <alignment horizontal="center"/>
    </xf>
    <xf numFmtId="0" fontId="4" fillId="2" borderId="7" xfId="3" applyFont="1" applyFill="1" applyBorder="1" applyAlignment="1">
      <alignment horizontal="center" vertical="center"/>
    </xf>
    <xf numFmtId="0" fontId="4" fillId="2" borderId="5" xfId="3" applyFont="1" applyFill="1" applyBorder="1" applyAlignment="1">
      <alignment horizontal="center" vertical="center"/>
    </xf>
    <xf numFmtId="0" fontId="6" fillId="2" borderId="5" xfId="3" applyFill="1" applyBorder="1" applyAlignment="1">
      <alignment vertical="center"/>
    </xf>
    <xf numFmtId="0" fontId="16" fillId="2" borderId="0" xfId="3" applyFont="1" applyFill="1" applyBorder="1" applyAlignment="1">
      <alignment horizontal="right"/>
    </xf>
    <xf numFmtId="0" fontId="4" fillId="2" borderId="12" xfId="3" applyFont="1" applyFill="1" applyBorder="1" applyAlignment="1">
      <alignment horizontal="center" vertical="center"/>
    </xf>
    <xf numFmtId="0" fontId="6" fillId="2" borderId="15" xfId="3" applyFill="1" applyBorder="1" applyAlignment="1">
      <alignment horizontal="center" vertical="center"/>
    </xf>
    <xf numFmtId="0" fontId="11" fillId="2" borderId="0" xfId="3" applyFont="1" applyFill="1" applyAlignment="1">
      <alignment horizontal="right"/>
    </xf>
    <xf numFmtId="0" fontId="2" fillId="2" borderId="0" xfId="3" applyFont="1" applyFill="1" applyAlignment="1">
      <alignment horizontal="left" indent="7"/>
    </xf>
    <xf numFmtId="0" fontId="21" fillId="2" borderId="0" xfId="3" applyFont="1" applyFill="1" applyAlignment="1">
      <alignment horizontal="left" indent="7"/>
    </xf>
    <xf numFmtId="0" fontId="16" fillId="2" borderId="26" xfId="3" applyFont="1" applyFill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Fill="1" applyAlignment="1">
      <alignment horizontal="right"/>
    </xf>
  </cellXfs>
  <cellStyles count="4">
    <cellStyle name="Обычный" xfId="0" builtinId="0"/>
    <cellStyle name="Обычный 2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537</xdr:row>
      <xdr:rowOff>0</xdr:rowOff>
    </xdr:from>
    <xdr:to>
      <xdr:col>7</xdr:col>
      <xdr:colOff>0</xdr:colOff>
      <xdr:row>537</xdr:row>
      <xdr:rowOff>0</xdr:rowOff>
    </xdr:to>
    <xdr:sp macro="" textlink="">
      <xdr:nvSpPr>
        <xdr:cNvPr id="2" name="Line 38"/>
        <xdr:cNvSpPr>
          <a:spLocks noChangeShapeType="1"/>
        </xdr:cNvSpPr>
      </xdr:nvSpPr>
      <xdr:spPr bwMode="auto">
        <a:xfrm>
          <a:off x="83820" y="106459020"/>
          <a:ext cx="6416040" cy="0"/>
        </a:xfrm>
        <a:prstGeom prst="line">
          <a:avLst/>
        </a:prstGeom>
        <a:noFill/>
        <a:ln w="9525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83820</xdr:colOff>
      <xdr:row>537</xdr:row>
      <xdr:rowOff>0</xdr:rowOff>
    </xdr:from>
    <xdr:to>
      <xdr:col>7</xdr:col>
      <xdr:colOff>0</xdr:colOff>
      <xdr:row>537</xdr:row>
      <xdr:rowOff>0</xdr:rowOff>
    </xdr:to>
    <xdr:sp macro="" textlink="">
      <xdr:nvSpPr>
        <xdr:cNvPr id="3" name="Line 39"/>
        <xdr:cNvSpPr>
          <a:spLocks noChangeShapeType="1"/>
        </xdr:cNvSpPr>
      </xdr:nvSpPr>
      <xdr:spPr bwMode="auto">
        <a:xfrm>
          <a:off x="83820" y="106459020"/>
          <a:ext cx="6416040" cy="0"/>
        </a:xfrm>
        <a:prstGeom prst="line">
          <a:avLst/>
        </a:prstGeom>
        <a:noFill/>
        <a:ln w="9525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107"/>
  <sheetViews>
    <sheetView zoomScaleNormal="100" zoomScaleSheetLayoutView="135" workbookViewId="0">
      <selection activeCell="O14" sqref="O14"/>
    </sheetView>
  </sheetViews>
  <sheetFormatPr defaultRowHeight="15.6" x14ac:dyDescent="0.3"/>
  <cols>
    <col min="1" max="1" width="3.77734375" style="79" customWidth="1"/>
    <col min="2" max="2" width="26.5546875" style="79" customWidth="1"/>
    <col min="3" max="3" width="9.21875" style="79" customWidth="1"/>
    <col min="4" max="4" width="11.21875" style="79" customWidth="1"/>
    <col min="5" max="5" width="17.5546875" style="90" customWidth="1"/>
    <col min="6" max="6" width="14.21875" style="79" customWidth="1"/>
    <col min="7" max="7" width="12.21875" style="79" customWidth="1"/>
    <col min="8" max="8" width="12.21875" style="85" customWidth="1"/>
    <col min="9" max="9" width="11.77734375" style="85" customWidth="1"/>
    <col min="10" max="13" width="9.21875" style="85" hidden="1" customWidth="1"/>
    <col min="14" max="16" width="9.21875" style="85" customWidth="1"/>
    <col min="17" max="19" width="9.21875" style="85" hidden="1" customWidth="1"/>
    <col min="20" max="34" width="9.21875" style="85" customWidth="1"/>
    <col min="35" max="256" width="8.88671875" style="85"/>
    <col min="257" max="257" width="3.77734375" style="85" customWidth="1"/>
    <col min="258" max="258" width="26.5546875" style="85" customWidth="1"/>
    <col min="259" max="259" width="9.21875" style="85" customWidth="1"/>
    <col min="260" max="260" width="11.21875" style="85" customWidth="1"/>
    <col min="261" max="261" width="17.5546875" style="85" customWidth="1"/>
    <col min="262" max="262" width="14.21875" style="85" customWidth="1"/>
    <col min="263" max="264" width="12.21875" style="85" customWidth="1"/>
    <col min="265" max="265" width="11.77734375" style="85" customWidth="1"/>
    <col min="266" max="269" width="0" style="85" hidden="1" customWidth="1"/>
    <col min="270" max="272" width="9.21875" style="85" customWidth="1"/>
    <col min="273" max="275" width="0" style="85" hidden="1" customWidth="1"/>
    <col min="276" max="290" width="9.21875" style="85" customWidth="1"/>
    <col min="291" max="512" width="8.88671875" style="85"/>
    <col min="513" max="513" width="3.77734375" style="85" customWidth="1"/>
    <col min="514" max="514" width="26.5546875" style="85" customWidth="1"/>
    <col min="515" max="515" width="9.21875" style="85" customWidth="1"/>
    <col min="516" max="516" width="11.21875" style="85" customWidth="1"/>
    <col min="517" max="517" width="17.5546875" style="85" customWidth="1"/>
    <col min="518" max="518" width="14.21875" style="85" customWidth="1"/>
    <col min="519" max="520" width="12.21875" style="85" customWidth="1"/>
    <col min="521" max="521" width="11.77734375" style="85" customWidth="1"/>
    <col min="522" max="525" width="0" style="85" hidden="1" customWidth="1"/>
    <col min="526" max="528" width="9.21875" style="85" customWidth="1"/>
    <col min="529" max="531" width="0" style="85" hidden="1" customWidth="1"/>
    <col min="532" max="546" width="9.21875" style="85" customWidth="1"/>
    <col min="547" max="768" width="8.88671875" style="85"/>
    <col min="769" max="769" width="3.77734375" style="85" customWidth="1"/>
    <col min="770" max="770" width="26.5546875" style="85" customWidth="1"/>
    <col min="771" max="771" width="9.21875" style="85" customWidth="1"/>
    <col min="772" max="772" width="11.21875" style="85" customWidth="1"/>
    <col min="773" max="773" width="17.5546875" style="85" customWidth="1"/>
    <col min="774" max="774" width="14.21875" style="85" customWidth="1"/>
    <col min="775" max="776" width="12.21875" style="85" customWidth="1"/>
    <col min="777" max="777" width="11.77734375" style="85" customWidth="1"/>
    <col min="778" max="781" width="0" style="85" hidden="1" customWidth="1"/>
    <col min="782" max="784" width="9.21875" style="85" customWidth="1"/>
    <col min="785" max="787" width="0" style="85" hidden="1" customWidth="1"/>
    <col min="788" max="802" width="9.21875" style="85" customWidth="1"/>
    <col min="803" max="1024" width="8.88671875" style="85"/>
    <col min="1025" max="1025" width="3.77734375" style="85" customWidth="1"/>
    <col min="1026" max="1026" width="26.5546875" style="85" customWidth="1"/>
    <col min="1027" max="1027" width="9.21875" style="85" customWidth="1"/>
    <col min="1028" max="1028" width="11.21875" style="85" customWidth="1"/>
    <col min="1029" max="1029" width="17.5546875" style="85" customWidth="1"/>
    <col min="1030" max="1030" width="14.21875" style="85" customWidth="1"/>
    <col min="1031" max="1032" width="12.21875" style="85" customWidth="1"/>
    <col min="1033" max="1033" width="11.77734375" style="85" customWidth="1"/>
    <col min="1034" max="1037" width="0" style="85" hidden="1" customWidth="1"/>
    <col min="1038" max="1040" width="9.21875" style="85" customWidth="1"/>
    <col min="1041" max="1043" width="0" style="85" hidden="1" customWidth="1"/>
    <col min="1044" max="1058" width="9.21875" style="85" customWidth="1"/>
    <col min="1059" max="1280" width="8.88671875" style="85"/>
    <col min="1281" max="1281" width="3.77734375" style="85" customWidth="1"/>
    <col min="1282" max="1282" width="26.5546875" style="85" customWidth="1"/>
    <col min="1283" max="1283" width="9.21875" style="85" customWidth="1"/>
    <col min="1284" max="1284" width="11.21875" style="85" customWidth="1"/>
    <col min="1285" max="1285" width="17.5546875" style="85" customWidth="1"/>
    <col min="1286" max="1286" width="14.21875" style="85" customWidth="1"/>
    <col min="1287" max="1288" width="12.21875" style="85" customWidth="1"/>
    <col min="1289" max="1289" width="11.77734375" style="85" customWidth="1"/>
    <col min="1290" max="1293" width="0" style="85" hidden="1" customWidth="1"/>
    <col min="1294" max="1296" width="9.21875" style="85" customWidth="1"/>
    <col min="1297" max="1299" width="0" style="85" hidden="1" customWidth="1"/>
    <col min="1300" max="1314" width="9.21875" style="85" customWidth="1"/>
    <col min="1315" max="1536" width="8.88671875" style="85"/>
    <col min="1537" max="1537" width="3.77734375" style="85" customWidth="1"/>
    <col min="1538" max="1538" width="26.5546875" style="85" customWidth="1"/>
    <col min="1539" max="1539" width="9.21875" style="85" customWidth="1"/>
    <col min="1540" max="1540" width="11.21875" style="85" customWidth="1"/>
    <col min="1541" max="1541" width="17.5546875" style="85" customWidth="1"/>
    <col min="1542" max="1542" width="14.21875" style="85" customWidth="1"/>
    <col min="1543" max="1544" width="12.21875" style="85" customWidth="1"/>
    <col min="1545" max="1545" width="11.77734375" style="85" customWidth="1"/>
    <col min="1546" max="1549" width="0" style="85" hidden="1" customWidth="1"/>
    <col min="1550" max="1552" width="9.21875" style="85" customWidth="1"/>
    <col min="1553" max="1555" width="0" style="85" hidden="1" customWidth="1"/>
    <col min="1556" max="1570" width="9.21875" style="85" customWidth="1"/>
    <col min="1571" max="1792" width="8.88671875" style="85"/>
    <col min="1793" max="1793" width="3.77734375" style="85" customWidth="1"/>
    <col min="1794" max="1794" width="26.5546875" style="85" customWidth="1"/>
    <col min="1795" max="1795" width="9.21875" style="85" customWidth="1"/>
    <col min="1796" max="1796" width="11.21875" style="85" customWidth="1"/>
    <col min="1797" max="1797" width="17.5546875" style="85" customWidth="1"/>
    <col min="1798" max="1798" width="14.21875" style="85" customWidth="1"/>
    <col min="1799" max="1800" width="12.21875" style="85" customWidth="1"/>
    <col min="1801" max="1801" width="11.77734375" style="85" customWidth="1"/>
    <col min="1802" max="1805" width="0" style="85" hidden="1" customWidth="1"/>
    <col min="1806" max="1808" width="9.21875" style="85" customWidth="1"/>
    <col min="1809" max="1811" width="0" style="85" hidden="1" customWidth="1"/>
    <col min="1812" max="1826" width="9.21875" style="85" customWidth="1"/>
    <col min="1827" max="2048" width="8.88671875" style="85"/>
    <col min="2049" max="2049" width="3.77734375" style="85" customWidth="1"/>
    <col min="2050" max="2050" width="26.5546875" style="85" customWidth="1"/>
    <col min="2051" max="2051" width="9.21875" style="85" customWidth="1"/>
    <col min="2052" max="2052" width="11.21875" style="85" customWidth="1"/>
    <col min="2053" max="2053" width="17.5546875" style="85" customWidth="1"/>
    <col min="2054" max="2054" width="14.21875" style="85" customWidth="1"/>
    <col min="2055" max="2056" width="12.21875" style="85" customWidth="1"/>
    <col min="2057" max="2057" width="11.77734375" style="85" customWidth="1"/>
    <col min="2058" max="2061" width="0" style="85" hidden="1" customWidth="1"/>
    <col min="2062" max="2064" width="9.21875" style="85" customWidth="1"/>
    <col min="2065" max="2067" width="0" style="85" hidden="1" customWidth="1"/>
    <col min="2068" max="2082" width="9.21875" style="85" customWidth="1"/>
    <col min="2083" max="2304" width="8.88671875" style="85"/>
    <col min="2305" max="2305" width="3.77734375" style="85" customWidth="1"/>
    <col min="2306" max="2306" width="26.5546875" style="85" customWidth="1"/>
    <col min="2307" max="2307" width="9.21875" style="85" customWidth="1"/>
    <col min="2308" max="2308" width="11.21875" style="85" customWidth="1"/>
    <col min="2309" max="2309" width="17.5546875" style="85" customWidth="1"/>
    <col min="2310" max="2310" width="14.21875" style="85" customWidth="1"/>
    <col min="2311" max="2312" width="12.21875" style="85" customWidth="1"/>
    <col min="2313" max="2313" width="11.77734375" style="85" customWidth="1"/>
    <col min="2314" max="2317" width="0" style="85" hidden="1" customWidth="1"/>
    <col min="2318" max="2320" width="9.21875" style="85" customWidth="1"/>
    <col min="2321" max="2323" width="0" style="85" hidden="1" customWidth="1"/>
    <col min="2324" max="2338" width="9.21875" style="85" customWidth="1"/>
    <col min="2339" max="2560" width="8.88671875" style="85"/>
    <col min="2561" max="2561" width="3.77734375" style="85" customWidth="1"/>
    <col min="2562" max="2562" width="26.5546875" style="85" customWidth="1"/>
    <col min="2563" max="2563" width="9.21875" style="85" customWidth="1"/>
    <col min="2564" max="2564" width="11.21875" style="85" customWidth="1"/>
    <col min="2565" max="2565" width="17.5546875" style="85" customWidth="1"/>
    <col min="2566" max="2566" width="14.21875" style="85" customWidth="1"/>
    <col min="2567" max="2568" width="12.21875" style="85" customWidth="1"/>
    <col min="2569" max="2569" width="11.77734375" style="85" customWidth="1"/>
    <col min="2570" max="2573" width="0" style="85" hidden="1" customWidth="1"/>
    <col min="2574" max="2576" width="9.21875" style="85" customWidth="1"/>
    <col min="2577" max="2579" width="0" style="85" hidden="1" customWidth="1"/>
    <col min="2580" max="2594" width="9.21875" style="85" customWidth="1"/>
    <col min="2595" max="2816" width="8.88671875" style="85"/>
    <col min="2817" max="2817" width="3.77734375" style="85" customWidth="1"/>
    <col min="2818" max="2818" width="26.5546875" style="85" customWidth="1"/>
    <col min="2819" max="2819" width="9.21875" style="85" customWidth="1"/>
    <col min="2820" max="2820" width="11.21875" style="85" customWidth="1"/>
    <col min="2821" max="2821" width="17.5546875" style="85" customWidth="1"/>
    <col min="2822" max="2822" width="14.21875" style="85" customWidth="1"/>
    <col min="2823" max="2824" width="12.21875" style="85" customWidth="1"/>
    <col min="2825" max="2825" width="11.77734375" style="85" customWidth="1"/>
    <col min="2826" max="2829" width="0" style="85" hidden="1" customWidth="1"/>
    <col min="2830" max="2832" width="9.21875" style="85" customWidth="1"/>
    <col min="2833" max="2835" width="0" style="85" hidden="1" customWidth="1"/>
    <col min="2836" max="2850" width="9.21875" style="85" customWidth="1"/>
    <col min="2851" max="3072" width="8.88671875" style="85"/>
    <col min="3073" max="3073" width="3.77734375" style="85" customWidth="1"/>
    <col min="3074" max="3074" width="26.5546875" style="85" customWidth="1"/>
    <col min="3075" max="3075" width="9.21875" style="85" customWidth="1"/>
    <col min="3076" max="3076" width="11.21875" style="85" customWidth="1"/>
    <col min="3077" max="3077" width="17.5546875" style="85" customWidth="1"/>
    <col min="3078" max="3078" width="14.21875" style="85" customWidth="1"/>
    <col min="3079" max="3080" width="12.21875" style="85" customWidth="1"/>
    <col min="3081" max="3081" width="11.77734375" style="85" customWidth="1"/>
    <col min="3082" max="3085" width="0" style="85" hidden="1" customWidth="1"/>
    <col min="3086" max="3088" width="9.21875" style="85" customWidth="1"/>
    <col min="3089" max="3091" width="0" style="85" hidden="1" customWidth="1"/>
    <col min="3092" max="3106" width="9.21875" style="85" customWidth="1"/>
    <col min="3107" max="3328" width="8.88671875" style="85"/>
    <col min="3329" max="3329" width="3.77734375" style="85" customWidth="1"/>
    <col min="3330" max="3330" width="26.5546875" style="85" customWidth="1"/>
    <col min="3331" max="3331" width="9.21875" style="85" customWidth="1"/>
    <col min="3332" max="3332" width="11.21875" style="85" customWidth="1"/>
    <col min="3333" max="3333" width="17.5546875" style="85" customWidth="1"/>
    <col min="3334" max="3334" width="14.21875" style="85" customWidth="1"/>
    <col min="3335" max="3336" width="12.21875" style="85" customWidth="1"/>
    <col min="3337" max="3337" width="11.77734375" style="85" customWidth="1"/>
    <col min="3338" max="3341" width="0" style="85" hidden="1" customWidth="1"/>
    <col min="3342" max="3344" width="9.21875" style="85" customWidth="1"/>
    <col min="3345" max="3347" width="0" style="85" hidden="1" customWidth="1"/>
    <col min="3348" max="3362" width="9.21875" style="85" customWidth="1"/>
    <col min="3363" max="3584" width="8.88671875" style="85"/>
    <col min="3585" max="3585" width="3.77734375" style="85" customWidth="1"/>
    <col min="3586" max="3586" width="26.5546875" style="85" customWidth="1"/>
    <col min="3587" max="3587" width="9.21875" style="85" customWidth="1"/>
    <col min="3588" max="3588" width="11.21875" style="85" customWidth="1"/>
    <col min="3589" max="3589" width="17.5546875" style="85" customWidth="1"/>
    <col min="3590" max="3590" width="14.21875" style="85" customWidth="1"/>
    <col min="3591" max="3592" width="12.21875" style="85" customWidth="1"/>
    <col min="3593" max="3593" width="11.77734375" style="85" customWidth="1"/>
    <col min="3594" max="3597" width="0" style="85" hidden="1" customWidth="1"/>
    <col min="3598" max="3600" width="9.21875" style="85" customWidth="1"/>
    <col min="3601" max="3603" width="0" style="85" hidden="1" customWidth="1"/>
    <col min="3604" max="3618" width="9.21875" style="85" customWidth="1"/>
    <col min="3619" max="3840" width="8.88671875" style="85"/>
    <col min="3841" max="3841" width="3.77734375" style="85" customWidth="1"/>
    <col min="3842" max="3842" width="26.5546875" style="85" customWidth="1"/>
    <col min="3843" max="3843" width="9.21875" style="85" customWidth="1"/>
    <col min="3844" max="3844" width="11.21875" style="85" customWidth="1"/>
    <col min="3845" max="3845" width="17.5546875" style="85" customWidth="1"/>
    <col min="3846" max="3846" width="14.21875" style="85" customWidth="1"/>
    <col min="3847" max="3848" width="12.21875" style="85" customWidth="1"/>
    <col min="3849" max="3849" width="11.77734375" style="85" customWidth="1"/>
    <col min="3850" max="3853" width="0" style="85" hidden="1" customWidth="1"/>
    <col min="3854" max="3856" width="9.21875" style="85" customWidth="1"/>
    <col min="3857" max="3859" width="0" style="85" hidden="1" customWidth="1"/>
    <col min="3860" max="3874" width="9.21875" style="85" customWidth="1"/>
    <col min="3875" max="4096" width="8.88671875" style="85"/>
    <col min="4097" max="4097" width="3.77734375" style="85" customWidth="1"/>
    <col min="4098" max="4098" width="26.5546875" style="85" customWidth="1"/>
    <col min="4099" max="4099" width="9.21875" style="85" customWidth="1"/>
    <col min="4100" max="4100" width="11.21875" style="85" customWidth="1"/>
    <col min="4101" max="4101" width="17.5546875" style="85" customWidth="1"/>
    <col min="4102" max="4102" width="14.21875" style="85" customWidth="1"/>
    <col min="4103" max="4104" width="12.21875" style="85" customWidth="1"/>
    <col min="4105" max="4105" width="11.77734375" style="85" customWidth="1"/>
    <col min="4106" max="4109" width="0" style="85" hidden="1" customWidth="1"/>
    <col min="4110" max="4112" width="9.21875" style="85" customWidth="1"/>
    <col min="4113" max="4115" width="0" style="85" hidden="1" customWidth="1"/>
    <col min="4116" max="4130" width="9.21875" style="85" customWidth="1"/>
    <col min="4131" max="4352" width="8.88671875" style="85"/>
    <col min="4353" max="4353" width="3.77734375" style="85" customWidth="1"/>
    <col min="4354" max="4354" width="26.5546875" style="85" customWidth="1"/>
    <col min="4355" max="4355" width="9.21875" style="85" customWidth="1"/>
    <col min="4356" max="4356" width="11.21875" style="85" customWidth="1"/>
    <col min="4357" max="4357" width="17.5546875" style="85" customWidth="1"/>
    <col min="4358" max="4358" width="14.21875" style="85" customWidth="1"/>
    <col min="4359" max="4360" width="12.21875" style="85" customWidth="1"/>
    <col min="4361" max="4361" width="11.77734375" style="85" customWidth="1"/>
    <col min="4362" max="4365" width="0" style="85" hidden="1" customWidth="1"/>
    <col min="4366" max="4368" width="9.21875" style="85" customWidth="1"/>
    <col min="4369" max="4371" width="0" style="85" hidden="1" customWidth="1"/>
    <col min="4372" max="4386" width="9.21875" style="85" customWidth="1"/>
    <col min="4387" max="4608" width="8.88671875" style="85"/>
    <col min="4609" max="4609" width="3.77734375" style="85" customWidth="1"/>
    <col min="4610" max="4610" width="26.5546875" style="85" customWidth="1"/>
    <col min="4611" max="4611" width="9.21875" style="85" customWidth="1"/>
    <col min="4612" max="4612" width="11.21875" style="85" customWidth="1"/>
    <col min="4613" max="4613" width="17.5546875" style="85" customWidth="1"/>
    <col min="4614" max="4614" width="14.21875" style="85" customWidth="1"/>
    <col min="4615" max="4616" width="12.21875" style="85" customWidth="1"/>
    <col min="4617" max="4617" width="11.77734375" style="85" customWidth="1"/>
    <col min="4618" max="4621" width="0" style="85" hidden="1" customWidth="1"/>
    <col min="4622" max="4624" width="9.21875" style="85" customWidth="1"/>
    <col min="4625" max="4627" width="0" style="85" hidden="1" customWidth="1"/>
    <col min="4628" max="4642" width="9.21875" style="85" customWidth="1"/>
    <col min="4643" max="4864" width="8.88671875" style="85"/>
    <col min="4865" max="4865" width="3.77734375" style="85" customWidth="1"/>
    <col min="4866" max="4866" width="26.5546875" style="85" customWidth="1"/>
    <col min="4867" max="4867" width="9.21875" style="85" customWidth="1"/>
    <col min="4868" max="4868" width="11.21875" style="85" customWidth="1"/>
    <col min="4869" max="4869" width="17.5546875" style="85" customWidth="1"/>
    <col min="4870" max="4870" width="14.21875" style="85" customWidth="1"/>
    <col min="4871" max="4872" width="12.21875" style="85" customWidth="1"/>
    <col min="4873" max="4873" width="11.77734375" style="85" customWidth="1"/>
    <col min="4874" max="4877" width="0" style="85" hidden="1" customWidth="1"/>
    <col min="4878" max="4880" width="9.21875" style="85" customWidth="1"/>
    <col min="4881" max="4883" width="0" style="85" hidden="1" customWidth="1"/>
    <col min="4884" max="4898" width="9.21875" style="85" customWidth="1"/>
    <col min="4899" max="5120" width="8.88671875" style="85"/>
    <col min="5121" max="5121" width="3.77734375" style="85" customWidth="1"/>
    <col min="5122" max="5122" width="26.5546875" style="85" customWidth="1"/>
    <col min="5123" max="5123" width="9.21875" style="85" customWidth="1"/>
    <col min="5124" max="5124" width="11.21875" style="85" customWidth="1"/>
    <col min="5125" max="5125" width="17.5546875" style="85" customWidth="1"/>
    <col min="5126" max="5126" width="14.21875" style="85" customWidth="1"/>
    <col min="5127" max="5128" width="12.21875" style="85" customWidth="1"/>
    <col min="5129" max="5129" width="11.77734375" style="85" customWidth="1"/>
    <col min="5130" max="5133" width="0" style="85" hidden="1" customWidth="1"/>
    <col min="5134" max="5136" width="9.21875" style="85" customWidth="1"/>
    <col min="5137" max="5139" width="0" style="85" hidden="1" customWidth="1"/>
    <col min="5140" max="5154" width="9.21875" style="85" customWidth="1"/>
    <col min="5155" max="5376" width="8.88671875" style="85"/>
    <col min="5377" max="5377" width="3.77734375" style="85" customWidth="1"/>
    <col min="5378" max="5378" width="26.5546875" style="85" customWidth="1"/>
    <col min="5379" max="5379" width="9.21875" style="85" customWidth="1"/>
    <col min="5380" max="5380" width="11.21875" style="85" customWidth="1"/>
    <col min="5381" max="5381" width="17.5546875" style="85" customWidth="1"/>
    <col min="5382" max="5382" width="14.21875" style="85" customWidth="1"/>
    <col min="5383" max="5384" width="12.21875" style="85" customWidth="1"/>
    <col min="5385" max="5385" width="11.77734375" style="85" customWidth="1"/>
    <col min="5386" max="5389" width="0" style="85" hidden="1" customWidth="1"/>
    <col min="5390" max="5392" width="9.21875" style="85" customWidth="1"/>
    <col min="5393" max="5395" width="0" style="85" hidden="1" customWidth="1"/>
    <col min="5396" max="5410" width="9.21875" style="85" customWidth="1"/>
    <col min="5411" max="5632" width="8.88671875" style="85"/>
    <col min="5633" max="5633" width="3.77734375" style="85" customWidth="1"/>
    <col min="5634" max="5634" width="26.5546875" style="85" customWidth="1"/>
    <col min="5635" max="5635" width="9.21875" style="85" customWidth="1"/>
    <col min="5636" max="5636" width="11.21875" style="85" customWidth="1"/>
    <col min="5637" max="5637" width="17.5546875" style="85" customWidth="1"/>
    <col min="5638" max="5638" width="14.21875" style="85" customWidth="1"/>
    <col min="5639" max="5640" width="12.21875" style="85" customWidth="1"/>
    <col min="5641" max="5641" width="11.77734375" style="85" customWidth="1"/>
    <col min="5642" max="5645" width="0" style="85" hidden="1" customWidth="1"/>
    <col min="5646" max="5648" width="9.21875" style="85" customWidth="1"/>
    <col min="5649" max="5651" width="0" style="85" hidden="1" customWidth="1"/>
    <col min="5652" max="5666" width="9.21875" style="85" customWidth="1"/>
    <col min="5667" max="5888" width="8.88671875" style="85"/>
    <col min="5889" max="5889" width="3.77734375" style="85" customWidth="1"/>
    <col min="5890" max="5890" width="26.5546875" style="85" customWidth="1"/>
    <col min="5891" max="5891" width="9.21875" style="85" customWidth="1"/>
    <col min="5892" max="5892" width="11.21875" style="85" customWidth="1"/>
    <col min="5893" max="5893" width="17.5546875" style="85" customWidth="1"/>
    <col min="5894" max="5894" width="14.21875" style="85" customWidth="1"/>
    <col min="5895" max="5896" width="12.21875" style="85" customWidth="1"/>
    <col min="5897" max="5897" width="11.77734375" style="85" customWidth="1"/>
    <col min="5898" max="5901" width="0" style="85" hidden="1" customWidth="1"/>
    <col min="5902" max="5904" width="9.21875" style="85" customWidth="1"/>
    <col min="5905" max="5907" width="0" style="85" hidden="1" customWidth="1"/>
    <col min="5908" max="5922" width="9.21875" style="85" customWidth="1"/>
    <col min="5923" max="6144" width="8.88671875" style="85"/>
    <col min="6145" max="6145" width="3.77734375" style="85" customWidth="1"/>
    <col min="6146" max="6146" width="26.5546875" style="85" customWidth="1"/>
    <col min="6147" max="6147" width="9.21875" style="85" customWidth="1"/>
    <col min="6148" max="6148" width="11.21875" style="85" customWidth="1"/>
    <col min="6149" max="6149" width="17.5546875" style="85" customWidth="1"/>
    <col min="6150" max="6150" width="14.21875" style="85" customWidth="1"/>
    <col min="6151" max="6152" width="12.21875" style="85" customWidth="1"/>
    <col min="6153" max="6153" width="11.77734375" style="85" customWidth="1"/>
    <col min="6154" max="6157" width="0" style="85" hidden="1" customWidth="1"/>
    <col min="6158" max="6160" width="9.21875" style="85" customWidth="1"/>
    <col min="6161" max="6163" width="0" style="85" hidden="1" customWidth="1"/>
    <col min="6164" max="6178" width="9.21875" style="85" customWidth="1"/>
    <col min="6179" max="6400" width="8.88671875" style="85"/>
    <col min="6401" max="6401" width="3.77734375" style="85" customWidth="1"/>
    <col min="6402" max="6402" width="26.5546875" style="85" customWidth="1"/>
    <col min="6403" max="6403" width="9.21875" style="85" customWidth="1"/>
    <col min="6404" max="6404" width="11.21875" style="85" customWidth="1"/>
    <col min="6405" max="6405" width="17.5546875" style="85" customWidth="1"/>
    <col min="6406" max="6406" width="14.21875" style="85" customWidth="1"/>
    <col min="6407" max="6408" width="12.21875" style="85" customWidth="1"/>
    <col min="6409" max="6409" width="11.77734375" style="85" customWidth="1"/>
    <col min="6410" max="6413" width="0" style="85" hidden="1" customWidth="1"/>
    <col min="6414" max="6416" width="9.21875" style="85" customWidth="1"/>
    <col min="6417" max="6419" width="0" style="85" hidden="1" customWidth="1"/>
    <col min="6420" max="6434" width="9.21875" style="85" customWidth="1"/>
    <col min="6435" max="6656" width="8.88671875" style="85"/>
    <col min="6657" max="6657" width="3.77734375" style="85" customWidth="1"/>
    <col min="6658" max="6658" width="26.5546875" style="85" customWidth="1"/>
    <col min="6659" max="6659" width="9.21875" style="85" customWidth="1"/>
    <col min="6660" max="6660" width="11.21875" style="85" customWidth="1"/>
    <col min="6661" max="6661" width="17.5546875" style="85" customWidth="1"/>
    <col min="6662" max="6662" width="14.21875" style="85" customWidth="1"/>
    <col min="6663" max="6664" width="12.21875" style="85" customWidth="1"/>
    <col min="6665" max="6665" width="11.77734375" style="85" customWidth="1"/>
    <col min="6666" max="6669" width="0" style="85" hidden="1" customWidth="1"/>
    <col min="6670" max="6672" width="9.21875" style="85" customWidth="1"/>
    <col min="6673" max="6675" width="0" style="85" hidden="1" customWidth="1"/>
    <col min="6676" max="6690" width="9.21875" style="85" customWidth="1"/>
    <col min="6691" max="6912" width="8.88671875" style="85"/>
    <col min="6913" max="6913" width="3.77734375" style="85" customWidth="1"/>
    <col min="6914" max="6914" width="26.5546875" style="85" customWidth="1"/>
    <col min="6915" max="6915" width="9.21875" style="85" customWidth="1"/>
    <col min="6916" max="6916" width="11.21875" style="85" customWidth="1"/>
    <col min="6917" max="6917" width="17.5546875" style="85" customWidth="1"/>
    <col min="6918" max="6918" width="14.21875" style="85" customWidth="1"/>
    <col min="6919" max="6920" width="12.21875" style="85" customWidth="1"/>
    <col min="6921" max="6921" width="11.77734375" style="85" customWidth="1"/>
    <col min="6922" max="6925" width="0" style="85" hidden="1" customWidth="1"/>
    <col min="6926" max="6928" width="9.21875" style="85" customWidth="1"/>
    <col min="6929" max="6931" width="0" style="85" hidden="1" customWidth="1"/>
    <col min="6932" max="6946" width="9.21875" style="85" customWidth="1"/>
    <col min="6947" max="7168" width="8.88671875" style="85"/>
    <col min="7169" max="7169" width="3.77734375" style="85" customWidth="1"/>
    <col min="7170" max="7170" width="26.5546875" style="85" customWidth="1"/>
    <col min="7171" max="7171" width="9.21875" style="85" customWidth="1"/>
    <col min="7172" max="7172" width="11.21875" style="85" customWidth="1"/>
    <col min="7173" max="7173" width="17.5546875" style="85" customWidth="1"/>
    <col min="7174" max="7174" width="14.21875" style="85" customWidth="1"/>
    <col min="7175" max="7176" width="12.21875" style="85" customWidth="1"/>
    <col min="7177" max="7177" width="11.77734375" style="85" customWidth="1"/>
    <col min="7178" max="7181" width="0" style="85" hidden="1" customWidth="1"/>
    <col min="7182" max="7184" width="9.21875" style="85" customWidth="1"/>
    <col min="7185" max="7187" width="0" style="85" hidden="1" customWidth="1"/>
    <col min="7188" max="7202" width="9.21875" style="85" customWidth="1"/>
    <col min="7203" max="7424" width="8.88671875" style="85"/>
    <col min="7425" max="7425" width="3.77734375" style="85" customWidth="1"/>
    <col min="7426" max="7426" width="26.5546875" style="85" customWidth="1"/>
    <col min="7427" max="7427" width="9.21875" style="85" customWidth="1"/>
    <col min="7428" max="7428" width="11.21875" style="85" customWidth="1"/>
    <col min="7429" max="7429" width="17.5546875" style="85" customWidth="1"/>
    <col min="7430" max="7430" width="14.21875" style="85" customWidth="1"/>
    <col min="7431" max="7432" width="12.21875" style="85" customWidth="1"/>
    <col min="7433" max="7433" width="11.77734375" style="85" customWidth="1"/>
    <col min="7434" max="7437" width="0" style="85" hidden="1" customWidth="1"/>
    <col min="7438" max="7440" width="9.21875" style="85" customWidth="1"/>
    <col min="7441" max="7443" width="0" style="85" hidden="1" customWidth="1"/>
    <col min="7444" max="7458" width="9.21875" style="85" customWidth="1"/>
    <col min="7459" max="7680" width="8.88671875" style="85"/>
    <col min="7681" max="7681" width="3.77734375" style="85" customWidth="1"/>
    <col min="7682" max="7682" width="26.5546875" style="85" customWidth="1"/>
    <col min="7683" max="7683" width="9.21875" style="85" customWidth="1"/>
    <col min="7684" max="7684" width="11.21875" style="85" customWidth="1"/>
    <col min="7685" max="7685" width="17.5546875" style="85" customWidth="1"/>
    <col min="7686" max="7686" width="14.21875" style="85" customWidth="1"/>
    <col min="7687" max="7688" width="12.21875" style="85" customWidth="1"/>
    <col min="7689" max="7689" width="11.77734375" style="85" customWidth="1"/>
    <col min="7690" max="7693" width="0" style="85" hidden="1" customWidth="1"/>
    <col min="7694" max="7696" width="9.21875" style="85" customWidth="1"/>
    <col min="7697" max="7699" width="0" style="85" hidden="1" customWidth="1"/>
    <col min="7700" max="7714" width="9.21875" style="85" customWidth="1"/>
    <col min="7715" max="7936" width="8.88671875" style="85"/>
    <col min="7937" max="7937" width="3.77734375" style="85" customWidth="1"/>
    <col min="7938" max="7938" width="26.5546875" style="85" customWidth="1"/>
    <col min="7939" max="7939" width="9.21875" style="85" customWidth="1"/>
    <col min="7940" max="7940" width="11.21875" style="85" customWidth="1"/>
    <col min="7941" max="7941" width="17.5546875" style="85" customWidth="1"/>
    <col min="7942" max="7942" width="14.21875" style="85" customWidth="1"/>
    <col min="7943" max="7944" width="12.21875" style="85" customWidth="1"/>
    <col min="7945" max="7945" width="11.77734375" style="85" customWidth="1"/>
    <col min="7946" max="7949" width="0" style="85" hidden="1" customWidth="1"/>
    <col min="7950" max="7952" width="9.21875" style="85" customWidth="1"/>
    <col min="7953" max="7955" width="0" style="85" hidden="1" customWidth="1"/>
    <col min="7956" max="7970" width="9.21875" style="85" customWidth="1"/>
    <col min="7971" max="8192" width="8.88671875" style="85"/>
    <col min="8193" max="8193" width="3.77734375" style="85" customWidth="1"/>
    <col min="8194" max="8194" width="26.5546875" style="85" customWidth="1"/>
    <col min="8195" max="8195" width="9.21875" style="85" customWidth="1"/>
    <col min="8196" max="8196" width="11.21875" style="85" customWidth="1"/>
    <col min="8197" max="8197" width="17.5546875" style="85" customWidth="1"/>
    <col min="8198" max="8198" width="14.21875" style="85" customWidth="1"/>
    <col min="8199" max="8200" width="12.21875" style="85" customWidth="1"/>
    <col min="8201" max="8201" width="11.77734375" style="85" customWidth="1"/>
    <col min="8202" max="8205" width="0" style="85" hidden="1" customWidth="1"/>
    <col min="8206" max="8208" width="9.21875" style="85" customWidth="1"/>
    <col min="8209" max="8211" width="0" style="85" hidden="1" customWidth="1"/>
    <col min="8212" max="8226" width="9.21875" style="85" customWidth="1"/>
    <col min="8227" max="8448" width="8.88671875" style="85"/>
    <col min="8449" max="8449" width="3.77734375" style="85" customWidth="1"/>
    <col min="8450" max="8450" width="26.5546875" style="85" customWidth="1"/>
    <col min="8451" max="8451" width="9.21875" style="85" customWidth="1"/>
    <col min="8452" max="8452" width="11.21875" style="85" customWidth="1"/>
    <col min="8453" max="8453" width="17.5546875" style="85" customWidth="1"/>
    <col min="8454" max="8454" width="14.21875" style="85" customWidth="1"/>
    <col min="8455" max="8456" width="12.21875" style="85" customWidth="1"/>
    <col min="8457" max="8457" width="11.77734375" style="85" customWidth="1"/>
    <col min="8458" max="8461" width="0" style="85" hidden="1" customWidth="1"/>
    <col min="8462" max="8464" width="9.21875" style="85" customWidth="1"/>
    <col min="8465" max="8467" width="0" style="85" hidden="1" customWidth="1"/>
    <col min="8468" max="8482" width="9.21875" style="85" customWidth="1"/>
    <col min="8483" max="8704" width="8.88671875" style="85"/>
    <col min="8705" max="8705" width="3.77734375" style="85" customWidth="1"/>
    <col min="8706" max="8706" width="26.5546875" style="85" customWidth="1"/>
    <col min="8707" max="8707" width="9.21875" style="85" customWidth="1"/>
    <col min="8708" max="8708" width="11.21875" style="85" customWidth="1"/>
    <col min="8709" max="8709" width="17.5546875" style="85" customWidth="1"/>
    <col min="8710" max="8710" width="14.21875" style="85" customWidth="1"/>
    <col min="8711" max="8712" width="12.21875" style="85" customWidth="1"/>
    <col min="8713" max="8713" width="11.77734375" style="85" customWidth="1"/>
    <col min="8714" max="8717" width="0" style="85" hidden="1" customWidth="1"/>
    <col min="8718" max="8720" width="9.21875" style="85" customWidth="1"/>
    <col min="8721" max="8723" width="0" style="85" hidden="1" customWidth="1"/>
    <col min="8724" max="8738" width="9.21875" style="85" customWidth="1"/>
    <col min="8739" max="8960" width="8.88671875" style="85"/>
    <col min="8961" max="8961" width="3.77734375" style="85" customWidth="1"/>
    <col min="8962" max="8962" width="26.5546875" style="85" customWidth="1"/>
    <col min="8963" max="8963" width="9.21875" style="85" customWidth="1"/>
    <col min="8964" max="8964" width="11.21875" style="85" customWidth="1"/>
    <col min="8965" max="8965" width="17.5546875" style="85" customWidth="1"/>
    <col min="8966" max="8966" width="14.21875" style="85" customWidth="1"/>
    <col min="8967" max="8968" width="12.21875" style="85" customWidth="1"/>
    <col min="8969" max="8969" width="11.77734375" style="85" customWidth="1"/>
    <col min="8970" max="8973" width="0" style="85" hidden="1" customWidth="1"/>
    <col min="8974" max="8976" width="9.21875" style="85" customWidth="1"/>
    <col min="8977" max="8979" width="0" style="85" hidden="1" customWidth="1"/>
    <col min="8980" max="8994" width="9.21875" style="85" customWidth="1"/>
    <col min="8995" max="9216" width="8.88671875" style="85"/>
    <col min="9217" max="9217" width="3.77734375" style="85" customWidth="1"/>
    <col min="9218" max="9218" width="26.5546875" style="85" customWidth="1"/>
    <col min="9219" max="9219" width="9.21875" style="85" customWidth="1"/>
    <col min="9220" max="9220" width="11.21875" style="85" customWidth="1"/>
    <col min="9221" max="9221" width="17.5546875" style="85" customWidth="1"/>
    <col min="9222" max="9222" width="14.21875" style="85" customWidth="1"/>
    <col min="9223" max="9224" width="12.21875" style="85" customWidth="1"/>
    <col min="9225" max="9225" width="11.77734375" style="85" customWidth="1"/>
    <col min="9226" max="9229" width="0" style="85" hidden="1" customWidth="1"/>
    <col min="9230" max="9232" width="9.21875" style="85" customWidth="1"/>
    <col min="9233" max="9235" width="0" style="85" hidden="1" customWidth="1"/>
    <col min="9236" max="9250" width="9.21875" style="85" customWidth="1"/>
    <col min="9251" max="9472" width="8.88671875" style="85"/>
    <col min="9473" max="9473" width="3.77734375" style="85" customWidth="1"/>
    <col min="9474" max="9474" width="26.5546875" style="85" customWidth="1"/>
    <col min="9475" max="9475" width="9.21875" style="85" customWidth="1"/>
    <col min="9476" max="9476" width="11.21875" style="85" customWidth="1"/>
    <col min="9477" max="9477" width="17.5546875" style="85" customWidth="1"/>
    <col min="9478" max="9478" width="14.21875" style="85" customWidth="1"/>
    <col min="9479" max="9480" width="12.21875" style="85" customWidth="1"/>
    <col min="9481" max="9481" width="11.77734375" style="85" customWidth="1"/>
    <col min="9482" max="9485" width="0" style="85" hidden="1" customWidth="1"/>
    <col min="9486" max="9488" width="9.21875" style="85" customWidth="1"/>
    <col min="9489" max="9491" width="0" style="85" hidden="1" customWidth="1"/>
    <col min="9492" max="9506" width="9.21875" style="85" customWidth="1"/>
    <col min="9507" max="9728" width="8.88671875" style="85"/>
    <col min="9729" max="9729" width="3.77734375" style="85" customWidth="1"/>
    <col min="9730" max="9730" width="26.5546875" style="85" customWidth="1"/>
    <col min="9731" max="9731" width="9.21875" style="85" customWidth="1"/>
    <col min="9732" max="9732" width="11.21875" style="85" customWidth="1"/>
    <col min="9733" max="9733" width="17.5546875" style="85" customWidth="1"/>
    <col min="9734" max="9734" width="14.21875" style="85" customWidth="1"/>
    <col min="9735" max="9736" width="12.21875" style="85" customWidth="1"/>
    <col min="9737" max="9737" width="11.77734375" style="85" customWidth="1"/>
    <col min="9738" max="9741" width="0" style="85" hidden="1" customWidth="1"/>
    <col min="9742" max="9744" width="9.21875" style="85" customWidth="1"/>
    <col min="9745" max="9747" width="0" style="85" hidden="1" customWidth="1"/>
    <col min="9748" max="9762" width="9.21875" style="85" customWidth="1"/>
    <col min="9763" max="9984" width="8.88671875" style="85"/>
    <col min="9985" max="9985" width="3.77734375" style="85" customWidth="1"/>
    <col min="9986" max="9986" width="26.5546875" style="85" customWidth="1"/>
    <col min="9987" max="9987" width="9.21875" style="85" customWidth="1"/>
    <col min="9988" max="9988" width="11.21875" style="85" customWidth="1"/>
    <col min="9989" max="9989" width="17.5546875" style="85" customWidth="1"/>
    <col min="9990" max="9990" width="14.21875" style="85" customWidth="1"/>
    <col min="9991" max="9992" width="12.21875" style="85" customWidth="1"/>
    <col min="9993" max="9993" width="11.77734375" style="85" customWidth="1"/>
    <col min="9994" max="9997" width="0" style="85" hidden="1" customWidth="1"/>
    <col min="9998" max="10000" width="9.21875" style="85" customWidth="1"/>
    <col min="10001" max="10003" width="0" style="85" hidden="1" customWidth="1"/>
    <col min="10004" max="10018" width="9.21875" style="85" customWidth="1"/>
    <col min="10019" max="10240" width="8.88671875" style="85"/>
    <col min="10241" max="10241" width="3.77734375" style="85" customWidth="1"/>
    <col min="10242" max="10242" width="26.5546875" style="85" customWidth="1"/>
    <col min="10243" max="10243" width="9.21875" style="85" customWidth="1"/>
    <col min="10244" max="10244" width="11.21875" style="85" customWidth="1"/>
    <col min="10245" max="10245" width="17.5546875" style="85" customWidth="1"/>
    <col min="10246" max="10246" width="14.21875" style="85" customWidth="1"/>
    <col min="10247" max="10248" width="12.21875" style="85" customWidth="1"/>
    <col min="10249" max="10249" width="11.77734375" style="85" customWidth="1"/>
    <col min="10250" max="10253" width="0" style="85" hidden="1" customWidth="1"/>
    <col min="10254" max="10256" width="9.21875" style="85" customWidth="1"/>
    <col min="10257" max="10259" width="0" style="85" hidden="1" customWidth="1"/>
    <col min="10260" max="10274" width="9.21875" style="85" customWidth="1"/>
    <col min="10275" max="10496" width="8.88671875" style="85"/>
    <col min="10497" max="10497" width="3.77734375" style="85" customWidth="1"/>
    <col min="10498" max="10498" width="26.5546875" style="85" customWidth="1"/>
    <col min="10499" max="10499" width="9.21875" style="85" customWidth="1"/>
    <col min="10500" max="10500" width="11.21875" style="85" customWidth="1"/>
    <col min="10501" max="10501" width="17.5546875" style="85" customWidth="1"/>
    <col min="10502" max="10502" width="14.21875" style="85" customWidth="1"/>
    <col min="10503" max="10504" width="12.21875" style="85" customWidth="1"/>
    <col min="10505" max="10505" width="11.77734375" style="85" customWidth="1"/>
    <col min="10506" max="10509" width="0" style="85" hidden="1" customWidth="1"/>
    <col min="10510" max="10512" width="9.21875" style="85" customWidth="1"/>
    <col min="10513" max="10515" width="0" style="85" hidden="1" customWidth="1"/>
    <col min="10516" max="10530" width="9.21875" style="85" customWidth="1"/>
    <col min="10531" max="10752" width="8.88671875" style="85"/>
    <col min="10753" max="10753" width="3.77734375" style="85" customWidth="1"/>
    <col min="10754" max="10754" width="26.5546875" style="85" customWidth="1"/>
    <col min="10755" max="10755" width="9.21875" style="85" customWidth="1"/>
    <col min="10756" max="10756" width="11.21875" style="85" customWidth="1"/>
    <col min="10757" max="10757" width="17.5546875" style="85" customWidth="1"/>
    <col min="10758" max="10758" width="14.21875" style="85" customWidth="1"/>
    <col min="10759" max="10760" width="12.21875" style="85" customWidth="1"/>
    <col min="10761" max="10761" width="11.77734375" style="85" customWidth="1"/>
    <col min="10762" max="10765" width="0" style="85" hidden="1" customWidth="1"/>
    <col min="10766" max="10768" width="9.21875" style="85" customWidth="1"/>
    <col min="10769" max="10771" width="0" style="85" hidden="1" customWidth="1"/>
    <col min="10772" max="10786" width="9.21875" style="85" customWidth="1"/>
    <col min="10787" max="11008" width="8.88671875" style="85"/>
    <col min="11009" max="11009" width="3.77734375" style="85" customWidth="1"/>
    <col min="11010" max="11010" width="26.5546875" style="85" customWidth="1"/>
    <col min="11011" max="11011" width="9.21875" style="85" customWidth="1"/>
    <col min="11012" max="11012" width="11.21875" style="85" customWidth="1"/>
    <col min="11013" max="11013" width="17.5546875" style="85" customWidth="1"/>
    <col min="11014" max="11014" width="14.21875" style="85" customWidth="1"/>
    <col min="11015" max="11016" width="12.21875" style="85" customWidth="1"/>
    <col min="11017" max="11017" width="11.77734375" style="85" customWidth="1"/>
    <col min="11018" max="11021" width="0" style="85" hidden="1" customWidth="1"/>
    <col min="11022" max="11024" width="9.21875" style="85" customWidth="1"/>
    <col min="11025" max="11027" width="0" style="85" hidden="1" customWidth="1"/>
    <col min="11028" max="11042" width="9.21875" style="85" customWidth="1"/>
    <col min="11043" max="11264" width="8.88671875" style="85"/>
    <col min="11265" max="11265" width="3.77734375" style="85" customWidth="1"/>
    <col min="11266" max="11266" width="26.5546875" style="85" customWidth="1"/>
    <col min="11267" max="11267" width="9.21875" style="85" customWidth="1"/>
    <col min="11268" max="11268" width="11.21875" style="85" customWidth="1"/>
    <col min="11269" max="11269" width="17.5546875" style="85" customWidth="1"/>
    <col min="11270" max="11270" width="14.21875" style="85" customWidth="1"/>
    <col min="11271" max="11272" width="12.21875" style="85" customWidth="1"/>
    <col min="11273" max="11273" width="11.77734375" style="85" customWidth="1"/>
    <col min="11274" max="11277" width="0" style="85" hidden="1" customWidth="1"/>
    <col min="11278" max="11280" width="9.21875" style="85" customWidth="1"/>
    <col min="11281" max="11283" width="0" style="85" hidden="1" customWidth="1"/>
    <col min="11284" max="11298" width="9.21875" style="85" customWidth="1"/>
    <col min="11299" max="11520" width="8.88671875" style="85"/>
    <col min="11521" max="11521" width="3.77734375" style="85" customWidth="1"/>
    <col min="11522" max="11522" width="26.5546875" style="85" customWidth="1"/>
    <col min="11523" max="11523" width="9.21875" style="85" customWidth="1"/>
    <col min="11524" max="11524" width="11.21875" style="85" customWidth="1"/>
    <col min="11525" max="11525" width="17.5546875" style="85" customWidth="1"/>
    <col min="11526" max="11526" width="14.21875" style="85" customWidth="1"/>
    <col min="11527" max="11528" width="12.21875" style="85" customWidth="1"/>
    <col min="11529" max="11529" width="11.77734375" style="85" customWidth="1"/>
    <col min="11530" max="11533" width="0" style="85" hidden="1" customWidth="1"/>
    <col min="11534" max="11536" width="9.21875" style="85" customWidth="1"/>
    <col min="11537" max="11539" width="0" style="85" hidden="1" customWidth="1"/>
    <col min="11540" max="11554" width="9.21875" style="85" customWidth="1"/>
    <col min="11555" max="11776" width="8.88671875" style="85"/>
    <col min="11777" max="11777" width="3.77734375" style="85" customWidth="1"/>
    <col min="11778" max="11778" width="26.5546875" style="85" customWidth="1"/>
    <col min="11779" max="11779" width="9.21875" style="85" customWidth="1"/>
    <col min="11780" max="11780" width="11.21875" style="85" customWidth="1"/>
    <col min="11781" max="11781" width="17.5546875" style="85" customWidth="1"/>
    <col min="11782" max="11782" width="14.21875" style="85" customWidth="1"/>
    <col min="11783" max="11784" width="12.21875" style="85" customWidth="1"/>
    <col min="11785" max="11785" width="11.77734375" style="85" customWidth="1"/>
    <col min="11786" max="11789" width="0" style="85" hidden="1" customWidth="1"/>
    <col min="11790" max="11792" width="9.21875" style="85" customWidth="1"/>
    <col min="11793" max="11795" width="0" style="85" hidden="1" customWidth="1"/>
    <col min="11796" max="11810" width="9.21875" style="85" customWidth="1"/>
    <col min="11811" max="12032" width="8.88671875" style="85"/>
    <col min="12033" max="12033" width="3.77734375" style="85" customWidth="1"/>
    <col min="12034" max="12034" width="26.5546875" style="85" customWidth="1"/>
    <col min="12035" max="12035" width="9.21875" style="85" customWidth="1"/>
    <col min="12036" max="12036" width="11.21875" style="85" customWidth="1"/>
    <col min="12037" max="12037" width="17.5546875" style="85" customWidth="1"/>
    <col min="12038" max="12038" width="14.21875" style="85" customWidth="1"/>
    <col min="12039" max="12040" width="12.21875" style="85" customWidth="1"/>
    <col min="12041" max="12041" width="11.77734375" style="85" customWidth="1"/>
    <col min="12042" max="12045" width="0" style="85" hidden="1" customWidth="1"/>
    <col min="12046" max="12048" width="9.21875" style="85" customWidth="1"/>
    <col min="12049" max="12051" width="0" style="85" hidden="1" customWidth="1"/>
    <col min="12052" max="12066" width="9.21875" style="85" customWidth="1"/>
    <col min="12067" max="12288" width="8.88671875" style="85"/>
    <col min="12289" max="12289" width="3.77734375" style="85" customWidth="1"/>
    <col min="12290" max="12290" width="26.5546875" style="85" customWidth="1"/>
    <col min="12291" max="12291" width="9.21875" style="85" customWidth="1"/>
    <col min="12292" max="12292" width="11.21875" style="85" customWidth="1"/>
    <col min="12293" max="12293" width="17.5546875" style="85" customWidth="1"/>
    <col min="12294" max="12294" width="14.21875" style="85" customWidth="1"/>
    <col min="12295" max="12296" width="12.21875" style="85" customWidth="1"/>
    <col min="12297" max="12297" width="11.77734375" style="85" customWidth="1"/>
    <col min="12298" max="12301" width="0" style="85" hidden="1" customWidth="1"/>
    <col min="12302" max="12304" width="9.21875" style="85" customWidth="1"/>
    <col min="12305" max="12307" width="0" style="85" hidden="1" customWidth="1"/>
    <col min="12308" max="12322" width="9.21875" style="85" customWidth="1"/>
    <col min="12323" max="12544" width="8.88671875" style="85"/>
    <col min="12545" max="12545" width="3.77734375" style="85" customWidth="1"/>
    <col min="12546" max="12546" width="26.5546875" style="85" customWidth="1"/>
    <col min="12547" max="12547" width="9.21875" style="85" customWidth="1"/>
    <col min="12548" max="12548" width="11.21875" style="85" customWidth="1"/>
    <col min="12549" max="12549" width="17.5546875" style="85" customWidth="1"/>
    <col min="12550" max="12550" width="14.21875" style="85" customWidth="1"/>
    <col min="12551" max="12552" width="12.21875" style="85" customWidth="1"/>
    <col min="12553" max="12553" width="11.77734375" style="85" customWidth="1"/>
    <col min="12554" max="12557" width="0" style="85" hidden="1" customWidth="1"/>
    <col min="12558" max="12560" width="9.21875" style="85" customWidth="1"/>
    <col min="12561" max="12563" width="0" style="85" hidden="1" customWidth="1"/>
    <col min="12564" max="12578" width="9.21875" style="85" customWidth="1"/>
    <col min="12579" max="12800" width="8.88671875" style="85"/>
    <col min="12801" max="12801" width="3.77734375" style="85" customWidth="1"/>
    <col min="12802" max="12802" width="26.5546875" style="85" customWidth="1"/>
    <col min="12803" max="12803" width="9.21875" style="85" customWidth="1"/>
    <col min="12804" max="12804" width="11.21875" style="85" customWidth="1"/>
    <col min="12805" max="12805" width="17.5546875" style="85" customWidth="1"/>
    <col min="12806" max="12806" width="14.21875" style="85" customWidth="1"/>
    <col min="12807" max="12808" width="12.21875" style="85" customWidth="1"/>
    <col min="12809" max="12809" width="11.77734375" style="85" customWidth="1"/>
    <col min="12810" max="12813" width="0" style="85" hidden="1" customWidth="1"/>
    <col min="12814" max="12816" width="9.21875" style="85" customWidth="1"/>
    <col min="12817" max="12819" width="0" style="85" hidden="1" customWidth="1"/>
    <col min="12820" max="12834" width="9.21875" style="85" customWidth="1"/>
    <col min="12835" max="13056" width="8.88671875" style="85"/>
    <col min="13057" max="13057" width="3.77734375" style="85" customWidth="1"/>
    <col min="13058" max="13058" width="26.5546875" style="85" customWidth="1"/>
    <col min="13059" max="13059" width="9.21875" style="85" customWidth="1"/>
    <col min="13060" max="13060" width="11.21875" style="85" customWidth="1"/>
    <col min="13061" max="13061" width="17.5546875" style="85" customWidth="1"/>
    <col min="13062" max="13062" width="14.21875" style="85" customWidth="1"/>
    <col min="13063" max="13064" width="12.21875" style="85" customWidth="1"/>
    <col min="13065" max="13065" width="11.77734375" style="85" customWidth="1"/>
    <col min="13066" max="13069" width="0" style="85" hidden="1" customWidth="1"/>
    <col min="13070" max="13072" width="9.21875" style="85" customWidth="1"/>
    <col min="13073" max="13075" width="0" style="85" hidden="1" customWidth="1"/>
    <col min="13076" max="13090" width="9.21875" style="85" customWidth="1"/>
    <col min="13091" max="13312" width="8.88671875" style="85"/>
    <col min="13313" max="13313" width="3.77734375" style="85" customWidth="1"/>
    <col min="13314" max="13314" width="26.5546875" style="85" customWidth="1"/>
    <col min="13315" max="13315" width="9.21875" style="85" customWidth="1"/>
    <col min="13316" max="13316" width="11.21875" style="85" customWidth="1"/>
    <col min="13317" max="13317" width="17.5546875" style="85" customWidth="1"/>
    <col min="13318" max="13318" width="14.21875" style="85" customWidth="1"/>
    <col min="13319" max="13320" width="12.21875" style="85" customWidth="1"/>
    <col min="13321" max="13321" width="11.77734375" style="85" customWidth="1"/>
    <col min="13322" max="13325" width="0" style="85" hidden="1" customWidth="1"/>
    <col min="13326" max="13328" width="9.21875" style="85" customWidth="1"/>
    <col min="13329" max="13331" width="0" style="85" hidden="1" customWidth="1"/>
    <col min="13332" max="13346" width="9.21875" style="85" customWidth="1"/>
    <col min="13347" max="13568" width="8.88671875" style="85"/>
    <col min="13569" max="13569" width="3.77734375" style="85" customWidth="1"/>
    <col min="13570" max="13570" width="26.5546875" style="85" customWidth="1"/>
    <col min="13571" max="13571" width="9.21875" style="85" customWidth="1"/>
    <col min="13572" max="13572" width="11.21875" style="85" customWidth="1"/>
    <col min="13573" max="13573" width="17.5546875" style="85" customWidth="1"/>
    <col min="13574" max="13574" width="14.21875" style="85" customWidth="1"/>
    <col min="13575" max="13576" width="12.21875" style="85" customWidth="1"/>
    <col min="13577" max="13577" width="11.77734375" style="85" customWidth="1"/>
    <col min="13578" max="13581" width="0" style="85" hidden="1" customWidth="1"/>
    <col min="13582" max="13584" width="9.21875" style="85" customWidth="1"/>
    <col min="13585" max="13587" width="0" style="85" hidden="1" customWidth="1"/>
    <col min="13588" max="13602" width="9.21875" style="85" customWidth="1"/>
    <col min="13603" max="13824" width="8.88671875" style="85"/>
    <col min="13825" max="13825" width="3.77734375" style="85" customWidth="1"/>
    <col min="13826" max="13826" width="26.5546875" style="85" customWidth="1"/>
    <col min="13827" max="13827" width="9.21875" style="85" customWidth="1"/>
    <col min="13828" max="13828" width="11.21875" style="85" customWidth="1"/>
    <col min="13829" max="13829" width="17.5546875" style="85" customWidth="1"/>
    <col min="13830" max="13830" width="14.21875" style="85" customWidth="1"/>
    <col min="13831" max="13832" width="12.21875" style="85" customWidth="1"/>
    <col min="13833" max="13833" width="11.77734375" style="85" customWidth="1"/>
    <col min="13834" max="13837" width="0" style="85" hidden="1" customWidth="1"/>
    <col min="13838" max="13840" width="9.21875" style="85" customWidth="1"/>
    <col min="13841" max="13843" width="0" style="85" hidden="1" customWidth="1"/>
    <col min="13844" max="13858" width="9.21875" style="85" customWidth="1"/>
    <col min="13859" max="14080" width="8.88671875" style="85"/>
    <col min="14081" max="14081" width="3.77734375" style="85" customWidth="1"/>
    <col min="14082" max="14082" width="26.5546875" style="85" customWidth="1"/>
    <col min="14083" max="14083" width="9.21875" style="85" customWidth="1"/>
    <col min="14084" max="14084" width="11.21875" style="85" customWidth="1"/>
    <col min="14085" max="14085" width="17.5546875" style="85" customWidth="1"/>
    <col min="14086" max="14086" width="14.21875" style="85" customWidth="1"/>
    <col min="14087" max="14088" width="12.21875" style="85" customWidth="1"/>
    <col min="14089" max="14089" width="11.77734375" style="85" customWidth="1"/>
    <col min="14090" max="14093" width="0" style="85" hidden="1" customWidth="1"/>
    <col min="14094" max="14096" width="9.21875" style="85" customWidth="1"/>
    <col min="14097" max="14099" width="0" style="85" hidden="1" customWidth="1"/>
    <col min="14100" max="14114" width="9.21875" style="85" customWidth="1"/>
    <col min="14115" max="14336" width="8.88671875" style="85"/>
    <col min="14337" max="14337" width="3.77734375" style="85" customWidth="1"/>
    <col min="14338" max="14338" width="26.5546875" style="85" customWidth="1"/>
    <col min="14339" max="14339" width="9.21875" style="85" customWidth="1"/>
    <col min="14340" max="14340" width="11.21875" style="85" customWidth="1"/>
    <col min="14341" max="14341" width="17.5546875" style="85" customWidth="1"/>
    <col min="14342" max="14342" width="14.21875" style="85" customWidth="1"/>
    <col min="14343" max="14344" width="12.21875" style="85" customWidth="1"/>
    <col min="14345" max="14345" width="11.77734375" style="85" customWidth="1"/>
    <col min="14346" max="14349" width="0" style="85" hidden="1" customWidth="1"/>
    <col min="14350" max="14352" width="9.21875" style="85" customWidth="1"/>
    <col min="14353" max="14355" width="0" style="85" hidden="1" customWidth="1"/>
    <col min="14356" max="14370" width="9.21875" style="85" customWidth="1"/>
    <col min="14371" max="14592" width="8.88671875" style="85"/>
    <col min="14593" max="14593" width="3.77734375" style="85" customWidth="1"/>
    <col min="14594" max="14594" width="26.5546875" style="85" customWidth="1"/>
    <col min="14595" max="14595" width="9.21875" style="85" customWidth="1"/>
    <col min="14596" max="14596" width="11.21875" style="85" customWidth="1"/>
    <col min="14597" max="14597" width="17.5546875" style="85" customWidth="1"/>
    <col min="14598" max="14598" width="14.21875" style="85" customWidth="1"/>
    <col min="14599" max="14600" width="12.21875" style="85" customWidth="1"/>
    <col min="14601" max="14601" width="11.77734375" style="85" customWidth="1"/>
    <col min="14602" max="14605" width="0" style="85" hidden="1" customWidth="1"/>
    <col min="14606" max="14608" width="9.21875" style="85" customWidth="1"/>
    <col min="14609" max="14611" width="0" style="85" hidden="1" customWidth="1"/>
    <col min="14612" max="14626" width="9.21875" style="85" customWidth="1"/>
    <col min="14627" max="14848" width="8.88671875" style="85"/>
    <col min="14849" max="14849" width="3.77734375" style="85" customWidth="1"/>
    <col min="14850" max="14850" width="26.5546875" style="85" customWidth="1"/>
    <col min="14851" max="14851" width="9.21875" style="85" customWidth="1"/>
    <col min="14852" max="14852" width="11.21875" style="85" customWidth="1"/>
    <col min="14853" max="14853" width="17.5546875" style="85" customWidth="1"/>
    <col min="14854" max="14854" width="14.21875" style="85" customWidth="1"/>
    <col min="14855" max="14856" width="12.21875" style="85" customWidth="1"/>
    <col min="14857" max="14857" width="11.77734375" style="85" customWidth="1"/>
    <col min="14858" max="14861" width="0" style="85" hidden="1" customWidth="1"/>
    <col min="14862" max="14864" width="9.21875" style="85" customWidth="1"/>
    <col min="14865" max="14867" width="0" style="85" hidden="1" customWidth="1"/>
    <col min="14868" max="14882" width="9.21875" style="85" customWidth="1"/>
    <col min="14883" max="15104" width="8.88671875" style="85"/>
    <col min="15105" max="15105" width="3.77734375" style="85" customWidth="1"/>
    <col min="15106" max="15106" width="26.5546875" style="85" customWidth="1"/>
    <col min="15107" max="15107" width="9.21875" style="85" customWidth="1"/>
    <col min="15108" max="15108" width="11.21875" style="85" customWidth="1"/>
    <col min="15109" max="15109" width="17.5546875" style="85" customWidth="1"/>
    <col min="15110" max="15110" width="14.21875" style="85" customWidth="1"/>
    <col min="15111" max="15112" width="12.21875" style="85" customWidth="1"/>
    <col min="15113" max="15113" width="11.77734375" style="85" customWidth="1"/>
    <col min="15114" max="15117" width="0" style="85" hidden="1" customWidth="1"/>
    <col min="15118" max="15120" width="9.21875" style="85" customWidth="1"/>
    <col min="15121" max="15123" width="0" style="85" hidden="1" customWidth="1"/>
    <col min="15124" max="15138" width="9.21875" style="85" customWidth="1"/>
    <col min="15139" max="15360" width="8.88671875" style="85"/>
    <col min="15361" max="15361" width="3.77734375" style="85" customWidth="1"/>
    <col min="15362" max="15362" width="26.5546875" style="85" customWidth="1"/>
    <col min="15363" max="15363" width="9.21875" style="85" customWidth="1"/>
    <col min="15364" max="15364" width="11.21875" style="85" customWidth="1"/>
    <col min="15365" max="15365" width="17.5546875" style="85" customWidth="1"/>
    <col min="15366" max="15366" width="14.21875" style="85" customWidth="1"/>
    <col min="15367" max="15368" width="12.21875" style="85" customWidth="1"/>
    <col min="15369" max="15369" width="11.77734375" style="85" customWidth="1"/>
    <col min="15370" max="15373" width="0" style="85" hidden="1" customWidth="1"/>
    <col min="15374" max="15376" width="9.21875" style="85" customWidth="1"/>
    <col min="15377" max="15379" width="0" style="85" hidden="1" customWidth="1"/>
    <col min="15380" max="15394" width="9.21875" style="85" customWidth="1"/>
    <col min="15395" max="15616" width="8.88671875" style="85"/>
    <col min="15617" max="15617" width="3.77734375" style="85" customWidth="1"/>
    <col min="15618" max="15618" width="26.5546875" style="85" customWidth="1"/>
    <col min="15619" max="15619" width="9.21875" style="85" customWidth="1"/>
    <col min="15620" max="15620" width="11.21875" style="85" customWidth="1"/>
    <col min="15621" max="15621" width="17.5546875" style="85" customWidth="1"/>
    <col min="15622" max="15622" width="14.21875" style="85" customWidth="1"/>
    <col min="15623" max="15624" width="12.21875" style="85" customWidth="1"/>
    <col min="15625" max="15625" width="11.77734375" style="85" customWidth="1"/>
    <col min="15626" max="15629" width="0" style="85" hidden="1" customWidth="1"/>
    <col min="15630" max="15632" width="9.21875" style="85" customWidth="1"/>
    <col min="15633" max="15635" width="0" style="85" hidden="1" customWidth="1"/>
    <col min="15636" max="15650" width="9.21875" style="85" customWidth="1"/>
    <col min="15651" max="15872" width="8.88671875" style="85"/>
    <col min="15873" max="15873" width="3.77734375" style="85" customWidth="1"/>
    <col min="15874" max="15874" width="26.5546875" style="85" customWidth="1"/>
    <col min="15875" max="15875" width="9.21875" style="85" customWidth="1"/>
    <col min="15876" max="15876" width="11.21875" style="85" customWidth="1"/>
    <col min="15877" max="15877" width="17.5546875" style="85" customWidth="1"/>
    <col min="15878" max="15878" width="14.21875" style="85" customWidth="1"/>
    <col min="15879" max="15880" width="12.21875" style="85" customWidth="1"/>
    <col min="15881" max="15881" width="11.77734375" style="85" customWidth="1"/>
    <col min="15882" max="15885" width="0" style="85" hidden="1" customWidth="1"/>
    <col min="15886" max="15888" width="9.21875" style="85" customWidth="1"/>
    <col min="15889" max="15891" width="0" style="85" hidden="1" customWidth="1"/>
    <col min="15892" max="15906" width="9.21875" style="85" customWidth="1"/>
    <col min="15907" max="16128" width="8.88671875" style="85"/>
    <col min="16129" max="16129" width="3.77734375" style="85" customWidth="1"/>
    <col min="16130" max="16130" width="26.5546875" style="85" customWidth="1"/>
    <col min="16131" max="16131" width="9.21875" style="85" customWidth="1"/>
    <col min="16132" max="16132" width="11.21875" style="85" customWidth="1"/>
    <col min="16133" max="16133" width="17.5546875" style="85" customWidth="1"/>
    <col min="16134" max="16134" width="14.21875" style="85" customWidth="1"/>
    <col min="16135" max="16136" width="12.21875" style="85" customWidth="1"/>
    <col min="16137" max="16137" width="11.77734375" style="85" customWidth="1"/>
    <col min="16138" max="16141" width="0" style="85" hidden="1" customWidth="1"/>
    <col min="16142" max="16144" width="9.21875" style="85" customWidth="1"/>
    <col min="16145" max="16147" width="0" style="85" hidden="1" customWidth="1"/>
    <col min="16148" max="16162" width="9.21875" style="85" customWidth="1"/>
    <col min="16163" max="16384" width="8.88671875" style="85"/>
  </cols>
  <sheetData>
    <row r="1" spans="1:20" ht="23.55" customHeight="1" x14ac:dyDescent="0.35">
      <c r="C1" s="82"/>
      <c r="D1" s="82"/>
      <c r="E1" s="83"/>
      <c r="F1" s="167"/>
      <c r="G1" s="167"/>
      <c r="H1" s="70" t="s">
        <v>128</v>
      </c>
      <c r="I1" s="84"/>
      <c r="R1" s="86" t="s">
        <v>129</v>
      </c>
      <c r="S1" s="87"/>
      <c r="T1" s="87"/>
    </row>
    <row r="2" spans="1:20" ht="18" x14ac:dyDescent="0.35">
      <c r="B2" s="88"/>
      <c r="C2" s="89"/>
      <c r="D2" s="89"/>
      <c r="F2" s="71"/>
      <c r="G2" s="71"/>
      <c r="H2" s="71" t="s">
        <v>1</v>
      </c>
      <c r="I2" s="91"/>
      <c r="R2" s="86" t="s">
        <v>130</v>
      </c>
      <c r="S2" s="87"/>
      <c r="T2" s="87"/>
    </row>
    <row r="3" spans="1:20" ht="18" x14ac:dyDescent="0.35">
      <c r="B3" s="70"/>
      <c r="C3" s="70"/>
      <c r="D3" s="70"/>
      <c r="E3" s="70"/>
      <c r="F3" s="167"/>
      <c r="G3" s="167"/>
      <c r="H3" s="70" t="s">
        <v>2</v>
      </c>
      <c r="I3" s="91"/>
      <c r="R3" s="86" t="s">
        <v>131</v>
      </c>
      <c r="S3" s="87"/>
      <c r="T3" s="87"/>
    </row>
    <row r="4" spans="1:20" ht="18" x14ac:dyDescent="0.35">
      <c r="A4" s="92"/>
      <c r="B4" s="92"/>
      <c r="C4" s="93"/>
      <c r="D4" s="93" t="s">
        <v>132</v>
      </c>
      <c r="E4" s="94"/>
      <c r="F4" s="92"/>
      <c r="G4" s="72"/>
      <c r="H4" s="72" t="s">
        <v>133</v>
      </c>
      <c r="I4" s="91"/>
      <c r="R4" s="86" t="s">
        <v>134</v>
      </c>
      <c r="S4" s="87"/>
      <c r="T4" s="87"/>
    </row>
    <row r="5" spans="1:20" ht="16.2" thickBot="1" x14ac:dyDescent="0.35">
      <c r="A5" s="92"/>
      <c r="B5" s="92"/>
      <c r="C5" s="94"/>
      <c r="D5" s="94"/>
      <c r="E5" s="94"/>
      <c r="F5" s="92"/>
      <c r="G5" s="172" t="s">
        <v>309</v>
      </c>
      <c r="H5" s="172"/>
      <c r="I5" s="95"/>
      <c r="R5" s="86"/>
      <c r="S5" s="87"/>
      <c r="T5" s="87"/>
    </row>
    <row r="6" spans="1:20" x14ac:dyDescent="0.3">
      <c r="A6" s="96"/>
      <c r="B6" s="97"/>
      <c r="C6" s="97"/>
      <c r="D6" s="98" t="s">
        <v>135</v>
      </c>
      <c r="E6" s="99" t="s">
        <v>136</v>
      </c>
      <c r="F6" s="98" t="s">
        <v>137</v>
      </c>
      <c r="G6" s="173" t="s">
        <v>138</v>
      </c>
      <c r="H6" s="99" t="s">
        <v>139</v>
      </c>
      <c r="R6" s="86" t="s">
        <v>140</v>
      </c>
      <c r="S6" s="87"/>
      <c r="T6" s="87"/>
    </row>
    <row r="7" spans="1:20" x14ac:dyDescent="0.3">
      <c r="A7" s="100" t="s">
        <v>141</v>
      </c>
      <c r="B7" s="101" t="s">
        <v>142</v>
      </c>
      <c r="C7" s="101" t="s">
        <v>6</v>
      </c>
      <c r="D7" s="101" t="s">
        <v>143</v>
      </c>
      <c r="E7" s="102" t="s">
        <v>144</v>
      </c>
      <c r="F7" s="101" t="s">
        <v>145</v>
      </c>
      <c r="G7" s="174"/>
      <c r="H7" s="102" t="s">
        <v>146</v>
      </c>
    </row>
    <row r="8" spans="1:20" ht="16.2" thickBot="1" x14ac:dyDescent="0.35">
      <c r="A8" s="103"/>
      <c r="B8" s="104"/>
      <c r="C8" s="104"/>
      <c r="D8" s="104"/>
      <c r="E8" s="73" t="s">
        <v>147</v>
      </c>
      <c r="F8" s="105" t="s">
        <v>148</v>
      </c>
      <c r="G8" s="73" t="s">
        <v>149</v>
      </c>
      <c r="H8" s="73" t="s">
        <v>149</v>
      </c>
    </row>
    <row r="9" spans="1:20" x14ac:dyDescent="0.3">
      <c r="A9" s="106"/>
      <c r="B9" s="107" t="s">
        <v>306</v>
      </c>
      <c r="C9" s="107"/>
      <c r="D9" s="107"/>
      <c r="E9" s="108"/>
      <c r="F9" s="107"/>
      <c r="G9" s="74"/>
      <c r="H9" s="109">
        <v>720</v>
      </c>
    </row>
    <row r="10" spans="1:20" x14ac:dyDescent="0.3">
      <c r="A10" s="110" t="s">
        <v>150</v>
      </c>
      <c r="B10" s="111" t="s">
        <v>151</v>
      </c>
      <c r="C10" s="111"/>
      <c r="D10" s="111"/>
      <c r="E10" s="112"/>
      <c r="F10" s="113"/>
      <c r="G10" s="75"/>
      <c r="H10" s="114"/>
    </row>
    <row r="11" spans="1:20" x14ac:dyDescent="0.3">
      <c r="A11" s="77"/>
      <c r="B11" s="115" t="s">
        <v>152</v>
      </c>
      <c r="C11" s="115"/>
      <c r="D11" s="115"/>
      <c r="E11" s="112"/>
      <c r="F11" s="75"/>
      <c r="G11" s="75"/>
      <c r="H11" s="114"/>
    </row>
    <row r="12" spans="1:20" x14ac:dyDescent="0.3">
      <c r="A12" s="77" t="s">
        <v>153</v>
      </c>
      <c r="B12" s="113" t="s">
        <v>154</v>
      </c>
      <c r="C12" s="116" t="s">
        <v>155</v>
      </c>
      <c r="D12" s="116"/>
      <c r="E12" s="75" t="s">
        <v>156</v>
      </c>
      <c r="F12" s="75">
        <v>63000</v>
      </c>
      <c r="G12" s="76">
        <f>(9016656+452580)/H9/1000</f>
        <v>13.151716666666667</v>
      </c>
      <c r="H12" s="117">
        <f>F12/1000-G12</f>
        <v>49.848283333333335</v>
      </c>
      <c r="I12" s="118"/>
      <c r="N12" s="119"/>
    </row>
    <row r="13" spans="1:20" x14ac:dyDescent="0.3">
      <c r="A13" s="77"/>
      <c r="B13" s="113"/>
      <c r="C13" s="116" t="s">
        <v>157</v>
      </c>
      <c r="D13" s="116"/>
      <c r="E13" s="75" t="s">
        <v>158</v>
      </c>
      <c r="F13" s="75">
        <v>63000</v>
      </c>
      <c r="G13" s="76">
        <f>(8734440+71190)/H9/1000</f>
        <v>12.230041666666667</v>
      </c>
      <c r="H13" s="117">
        <f>F13/1000-G13</f>
        <v>50.769958333333335</v>
      </c>
      <c r="I13" s="118"/>
      <c r="N13" s="119"/>
    </row>
    <row r="14" spans="1:20" x14ac:dyDescent="0.3">
      <c r="A14" s="77"/>
      <c r="B14" s="115" t="s">
        <v>159</v>
      </c>
      <c r="C14" s="115"/>
      <c r="D14" s="115"/>
      <c r="E14" s="75"/>
      <c r="F14" s="75"/>
      <c r="G14" s="76"/>
      <c r="H14" s="117"/>
      <c r="I14" s="118"/>
      <c r="N14" s="119"/>
    </row>
    <row r="15" spans="1:20" x14ac:dyDescent="0.3">
      <c r="A15" s="77" t="s">
        <v>160</v>
      </c>
      <c r="B15" s="113" t="s">
        <v>161</v>
      </c>
      <c r="C15" s="113"/>
      <c r="D15" s="113"/>
      <c r="E15" s="75" t="s">
        <v>162</v>
      </c>
      <c r="F15" s="75">
        <v>6300</v>
      </c>
      <c r="G15" s="76">
        <f>261822/H9/1000</f>
        <v>0.36364166666666664</v>
      </c>
      <c r="H15" s="117">
        <f t="shared" ref="H15:H22" si="0">F15/1000-G15</f>
        <v>5.9363583333333327</v>
      </c>
      <c r="I15" s="118"/>
      <c r="N15" s="119"/>
    </row>
    <row r="16" spans="1:20" x14ac:dyDescent="0.3">
      <c r="A16" s="77" t="s">
        <v>163</v>
      </c>
      <c r="B16" s="113" t="s">
        <v>164</v>
      </c>
      <c r="C16" s="113" t="s">
        <v>165</v>
      </c>
      <c r="D16" s="113"/>
      <c r="E16" s="120">
        <v>11.1</v>
      </c>
      <c r="F16" s="75">
        <v>16000</v>
      </c>
      <c r="G16" s="76">
        <f>482806/H9/1000</f>
        <v>0.67056388888888885</v>
      </c>
      <c r="H16" s="117">
        <f t="shared" si="0"/>
        <v>15.329436111111111</v>
      </c>
      <c r="I16" s="118"/>
      <c r="N16" s="119"/>
    </row>
    <row r="17" spans="1:14" x14ac:dyDescent="0.3">
      <c r="A17" s="77"/>
      <c r="B17" s="113"/>
      <c r="C17" s="113" t="s">
        <v>166</v>
      </c>
      <c r="D17" s="113"/>
      <c r="E17" s="120">
        <v>11.1</v>
      </c>
      <c r="F17" s="75">
        <v>16000</v>
      </c>
      <c r="G17" s="76">
        <f>322240/H9/1000</f>
        <v>0.44755555555555554</v>
      </c>
      <c r="H17" s="117">
        <f t="shared" si="0"/>
        <v>15.552444444444445</v>
      </c>
      <c r="I17" s="118"/>
      <c r="N17" s="119"/>
    </row>
    <row r="18" spans="1:14" x14ac:dyDescent="0.3">
      <c r="A18" s="77" t="s">
        <v>167</v>
      </c>
      <c r="B18" s="113" t="s">
        <v>168</v>
      </c>
      <c r="C18" s="113" t="s">
        <v>165</v>
      </c>
      <c r="D18" s="113"/>
      <c r="E18" s="75" t="s">
        <v>169</v>
      </c>
      <c r="F18" s="75">
        <v>16000</v>
      </c>
      <c r="G18" s="76">
        <f>219528/H9/1000</f>
        <v>0.3049</v>
      </c>
      <c r="H18" s="117">
        <f t="shared" si="0"/>
        <v>15.6951</v>
      </c>
      <c r="I18" s="118"/>
      <c r="N18" s="119"/>
    </row>
    <row r="19" spans="1:14" x14ac:dyDescent="0.3">
      <c r="A19" s="77"/>
      <c r="B19" s="113"/>
      <c r="C19" s="113" t="s">
        <v>166</v>
      </c>
      <c r="D19" s="113"/>
      <c r="E19" s="75" t="s">
        <v>170</v>
      </c>
      <c r="F19" s="75">
        <v>16000</v>
      </c>
      <c r="G19" s="76">
        <f>491472/H9/1000</f>
        <v>0.68259999999999998</v>
      </c>
      <c r="H19" s="117">
        <f t="shared" si="0"/>
        <v>15.317399999999999</v>
      </c>
      <c r="I19" s="118"/>
      <c r="N19" s="119"/>
    </row>
    <row r="20" spans="1:14" x14ac:dyDescent="0.3">
      <c r="A20" s="77" t="s">
        <v>171</v>
      </c>
      <c r="B20" s="113" t="s">
        <v>172</v>
      </c>
      <c r="C20" s="113" t="s">
        <v>165</v>
      </c>
      <c r="D20" s="113"/>
      <c r="E20" s="75" t="s">
        <v>173</v>
      </c>
      <c r="F20" s="75">
        <v>40000</v>
      </c>
      <c r="G20" s="76">
        <f>1554520/H9/1000</f>
        <v>2.1590555555555557</v>
      </c>
      <c r="H20" s="117">
        <f t="shared" si="0"/>
        <v>37.840944444444446</v>
      </c>
      <c r="I20" s="118"/>
      <c r="N20" s="119"/>
    </row>
    <row r="21" spans="1:14" x14ac:dyDescent="0.3">
      <c r="A21" s="77"/>
      <c r="B21" s="113"/>
      <c r="C21" s="113" t="s">
        <v>166</v>
      </c>
      <c r="D21" s="113"/>
      <c r="E21" s="75" t="s">
        <v>174</v>
      </c>
      <c r="F21" s="75">
        <v>40000</v>
      </c>
      <c r="G21" s="76">
        <f>1304521/H9/1000</f>
        <v>1.8118347222222222</v>
      </c>
      <c r="H21" s="117">
        <f t="shared" si="0"/>
        <v>38.188165277777777</v>
      </c>
      <c r="I21" s="118"/>
      <c r="N21" s="119"/>
    </row>
    <row r="22" spans="1:14" x14ac:dyDescent="0.3">
      <c r="A22" s="77" t="s">
        <v>175</v>
      </c>
      <c r="B22" s="113" t="s">
        <v>176</v>
      </c>
      <c r="C22" s="113" t="s">
        <v>165</v>
      </c>
      <c r="D22" s="113"/>
      <c r="E22" s="75" t="s">
        <v>177</v>
      </c>
      <c r="F22" s="75">
        <v>6300</v>
      </c>
      <c r="G22" s="76">
        <f>28932/H9/1000</f>
        <v>4.0183333333333328E-2</v>
      </c>
      <c r="H22" s="117">
        <f t="shared" si="0"/>
        <v>6.2598166666666666</v>
      </c>
      <c r="I22" s="118"/>
      <c r="N22" s="119"/>
    </row>
    <row r="23" spans="1:14" x14ac:dyDescent="0.3">
      <c r="A23" s="77"/>
      <c r="B23" s="113"/>
      <c r="C23" s="113" t="s">
        <v>166</v>
      </c>
      <c r="D23" s="113"/>
      <c r="E23" s="75" t="s">
        <v>178</v>
      </c>
      <c r="F23" s="75">
        <v>6300</v>
      </c>
      <c r="G23" s="76" t="s">
        <v>179</v>
      </c>
      <c r="H23" s="117"/>
      <c r="I23" s="118"/>
      <c r="N23" s="119"/>
    </row>
    <row r="24" spans="1:14" x14ac:dyDescent="0.3">
      <c r="A24" s="77" t="s">
        <v>180</v>
      </c>
      <c r="B24" s="113" t="s">
        <v>181</v>
      </c>
      <c r="C24" s="113"/>
      <c r="D24" s="113"/>
      <c r="E24" s="75" t="s">
        <v>182</v>
      </c>
      <c r="F24" s="75">
        <v>10000</v>
      </c>
      <c r="G24" s="76">
        <f>(940060+0)/H9/1000</f>
        <v>1.305638888888889</v>
      </c>
      <c r="H24" s="117">
        <f>F24/1000-G24</f>
        <v>8.6943611111111103</v>
      </c>
      <c r="I24" s="118"/>
      <c r="N24" s="119"/>
    </row>
    <row r="25" spans="1:14" x14ac:dyDescent="0.3">
      <c r="A25" s="77"/>
      <c r="B25" s="113"/>
      <c r="C25" s="113"/>
      <c r="D25" s="113"/>
      <c r="E25" s="75" t="s">
        <v>178</v>
      </c>
      <c r="F25" s="75">
        <v>2500</v>
      </c>
      <c r="G25" s="76">
        <f>(0+0)/H9/1000</f>
        <v>0</v>
      </c>
      <c r="H25" s="117">
        <f>F25/1000-G25</f>
        <v>2.5</v>
      </c>
      <c r="I25" s="118"/>
      <c r="N25" s="119"/>
    </row>
    <row r="26" spans="1:14" x14ac:dyDescent="0.3">
      <c r="A26" s="77" t="s">
        <v>183</v>
      </c>
      <c r="B26" s="113" t="s">
        <v>184</v>
      </c>
      <c r="C26" s="113" t="s">
        <v>185</v>
      </c>
      <c r="D26" s="113"/>
      <c r="E26" s="75" t="s">
        <v>186</v>
      </c>
      <c r="F26" s="75">
        <v>6300</v>
      </c>
      <c r="G26" s="76">
        <f>(831600)/H9/1000</f>
        <v>1.155</v>
      </c>
      <c r="H26" s="117">
        <f>F26/1000-G26</f>
        <v>5.1449999999999996</v>
      </c>
      <c r="I26" s="118"/>
      <c r="N26" s="119"/>
    </row>
    <row r="27" spans="1:14" x14ac:dyDescent="0.3">
      <c r="A27" s="77"/>
      <c r="B27" s="115" t="s">
        <v>187</v>
      </c>
      <c r="C27" s="115"/>
      <c r="D27" s="115"/>
      <c r="E27" s="75"/>
      <c r="F27" s="75"/>
      <c r="G27" s="76"/>
      <c r="H27" s="117"/>
      <c r="I27" s="118"/>
      <c r="N27" s="119"/>
    </row>
    <row r="28" spans="1:14" x14ac:dyDescent="0.3">
      <c r="A28" s="77" t="s">
        <v>188</v>
      </c>
      <c r="B28" s="113" t="s">
        <v>189</v>
      </c>
      <c r="C28" s="113" t="s">
        <v>165</v>
      </c>
      <c r="D28" s="113"/>
      <c r="E28" s="120" t="s">
        <v>190</v>
      </c>
      <c r="F28" s="75">
        <v>1000</v>
      </c>
      <c r="G28" s="76">
        <f>103086/H9/1000</f>
        <v>0.14317500000000002</v>
      </c>
      <c r="H28" s="117">
        <f>F28/1000-G28</f>
        <v>0.85682499999999995</v>
      </c>
      <c r="I28" s="118"/>
      <c r="N28" s="119"/>
    </row>
    <row r="29" spans="1:14" x14ac:dyDescent="0.3">
      <c r="A29" s="77"/>
      <c r="B29" s="113"/>
      <c r="C29" s="113" t="s">
        <v>166</v>
      </c>
      <c r="D29" s="113"/>
      <c r="E29" s="75" t="s">
        <v>178</v>
      </c>
      <c r="F29" s="75">
        <v>6300</v>
      </c>
      <c r="G29" s="76" t="s">
        <v>179</v>
      </c>
      <c r="H29" s="117"/>
      <c r="I29" s="118"/>
      <c r="N29" s="119"/>
    </row>
    <row r="30" spans="1:14" x14ac:dyDescent="0.3">
      <c r="A30" s="77" t="s">
        <v>191</v>
      </c>
      <c r="B30" s="113" t="s">
        <v>192</v>
      </c>
      <c r="C30" s="113" t="s">
        <v>193</v>
      </c>
      <c r="D30" s="113"/>
      <c r="E30" s="120">
        <v>11.1</v>
      </c>
      <c r="F30" s="75">
        <v>1000</v>
      </c>
      <c r="G30" s="76">
        <f>27048/H9/1000</f>
        <v>3.7566666666666672E-2</v>
      </c>
      <c r="H30" s="117">
        <f>F30/1000-G30</f>
        <v>0.96243333333333336</v>
      </c>
      <c r="I30" s="118"/>
      <c r="N30" s="119"/>
    </row>
    <row r="31" spans="1:14" x14ac:dyDescent="0.3">
      <c r="A31" s="77" t="s">
        <v>194</v>
      </c>
      <c r="B31" s="113" t="s">
        <v>195</v>
      </c>
      <c r="C31" s="113"/>
      <c r="D31" s="113"/>
      <c r="E31" s="120">
        <v>11.1</v>
      </c>
      <c r="F31" s="75">
        <v>1000</v>
      </c>
      <c r="G31" s="76">
        <v>0</v>
      </c>
      <c r="H31" s="117">
        <f>F31/1000-G31</f>
        <v>1</v>
      </c>
      <c r="I31" s="118"/>
      <c r="N31" s="119"/>
    </row>
    <row r="32" spans="1:14" x14ac:dyDescent="0.3">
      <c r="A32" s="110" t="s">
        <v>196</v>
      </c>
      <c r="B32" s="111" t="s">
        <v>197</v>
      </c>
      <c r="C32" s="111"/>
      <c r="D32" s="111"/>
      <c r="E32" s="75"/>
      <c r="F32" s="75"/>
      <c r="G32" s="76"/>
      <c r="H32" s="117"/>
      <c r="I32" s="118"/>
      <c r="N32" s="119"/>
    </row>
    <row r="33" spans="1:14" x14ac:dyDescent="0.3">
      <c r="A33" s="110"/>
      <c r="B33" s="115" t="s">
        <v>152</v>
      </c>
      <c r="C33" s="115"/>
      <c r="D33" s="115"/>
      <c r="E33" s="75"/>
      <c r="F33" s="75"/>
      <c r="G33" s="76"/>
      <c r="H33" s="117"/>
      <c r="I33" s="118"/>
      <c r="N33" s="119"/>
    </row>
    <row r="34" spans="1:14" x14ac:dyDescent="0.3">
      <c r="A34" s="77" t="s">
        <v>198</v>
      </c>
      <c r="B34" s="113" t="s">
        <v>199</v>
      </c>
      <c r="C34" s="113" t="s">
        <v>165</v>
      </c>
      <c r="D34" s="113"/>
      <c r="E34" s="75" t="s">
        <v>200</v>
      </c>
      <c r="F34" s="75">
        <v>25000</v>
      </c>
      <c r="G34" s="76">
        <f>(9980520)/H9/1000</f>
        <v>13.861833333333333</v>
      </c>
      <c r="H34" s="117">
        <f>F34/1000-G34</f>
        <v>11.138166666666667</v>
      </c>
      <c r="I34" s="118"/>
      <c r="N34" s="119"/>
    </row>
    <row r="35" spans="1:14" x14ac:dyDescent="0.3">
      <c r="A35" s="77"/>
      <c r="B35" s="75"/>
      <c r="C35" s="113" t="s">
        <v>166</v>
      </c>
      <c r="D35" s="113"/>
      <c r="E35" s="75" t="s">
        <v>201</v>
      </c>
      <c r="F35" s="75">
        <v>25000</v>
      </c>
      <c r="G35" s="76">
        <f>(15506964)/H9/1000</f>
        <v>21.53745</v>
      </c>
      <c r="H35" s="117">
        <f>F35/1000-G35</f>
        <v>3.4625500000000002</v>
      </c>
      <c r="I35" s="118"/>
      <c r="N35" s="119"/>
    </row>
    <row r="36" spans="1:14" x14ac:dyDescent="0.3">
      <c r="A36" s="77" t="s">
        <v>202</v>
      </c>
      <c r="B36" s="113" t="s">
        <v>203</v>
      </c>
      <c r="C36" s="113" t="s">
        <v>165</v>
      </c>
      <c r="D36" s="113"/>
      <c r="E36" s="75" t="s">
        <v>204</v>
      </c>
      <c r="F36" s="75">
        <v>40000</v>
      </c>
      <c r="G36" s="76">
        <f>3263832/H9/1000</f>
        <v>4.5331000000000001</v>
      </c>
      <c r="H36" s="117">
        <f t="shared" ref="H36:H41" si="1">F36/1000-G36</f>
        <v>35.466900000000003</v>
      </c>
      <c r="I36" s="118"/>
      <c r="N36" s="119"/>
    </row>
    <row r="37" spans="1:14" x14ac:dyDescent="0.3">
      <c r="A37" s="77"/>
      <c r="B37" s="75"/>
      <c r="C37" s="113" t="s">
        <v>166</v>
      </c>
      <c r="D37" s="113"/>
      <c r="E37" s="75" t="s">
        <v>205</v>
      </c>
      <c r="F37" s="75">
        <v>40000</v>
      </c>
      <c r="G37" s="76">
        <f>3040752/H9/1000</f>
        <v>4.2232666666666665</v>
      </c>
      <c r="H37" s="117">
        <f t="shared" si="1"/>
        <v>35.776733333333333</v>
      </c>
      <c r="I37" s="118"/>
      <c r="N37" s="119"/>
    </row>
    <row r="38" spans="1:14" x14ac:dyDescent="0.3">
      <c r="A38" s="77" t="s">
        <v>206</v>
      </c>
      <c r="B38" s="113" t="s">
        <v>207</v>
      </c>
      <c r="C38" s="113" t="s">
        <v>165</v>
      </c>
      <c r="D38" s="113"/>
      <c r="E38" s="75" t="s">
        <v>208</v>
      </c>
      <c r="F38" s="75">
        <v>20000</v>
      </c>
      <c r="G38" s="76">
        <f>5005792/H9/1000</f>
        <v>6.9524888888888894</v>
      </c>
      <c r="H38" s="117">
        <f t="shared" si="1"/>
        <v>13.04751111111111</v>
      </c>
      <c r="I38" s="118"/>
      <c r="N38" s="119"/>
    </row>
    <row r="39" spans="1:14" x14ac:dyDescent="0.3">
      <c r="A39" s="77"/>
      <c r="B39" s="75"/>
      <c r="C39" s="113" t="s">
        <v>166</v>
      </c>
      <c r="D39" s="113"/>
      <c r="E39" s="75" t="s">
        <v>209</v>
      </c>
      <c r="F39" s="75">
        <v>20000</v>
      </c>
      <c r="G39" s="76">
        <f>3755840/H9/1000</f>
        <v>5.216444444444444</v>
      </c>
      <c r="H39" s="117">
        <f t="shared" si="1"/>
        <v>14.783555555555555</v>
      </c>
      <c r="I39" s="118"/>
      <c r="N39" s="119"/>
    </row>
    <row r="40" spans="1:14" x14ac:dyDescent="0.3">
      <c r="A40" s="110"/>
      <c r="B40" s="113" t="s">
        <v>210</v>
      </c>
      <c r="C40" s="113" t="s">
        <v>211</v>
      </c>
      <c r="D40" s="113"/>
      <c r="E40" s="75" t="s">
        <v>212</v>
      </c>
      <c r="F40" s="75">
        <v>10000</v>
      </c>
      <c r="G40" s="76">
        <f>0/H9/1000</f>
        <v>0</v>
      </c>
      <c r="H40" s="117">
        <f t="shared" si="1"/>
        <v>10</v>
      </c>
      <c r="I40" s="118"/>
      <c r="N40" s="119"/>
    </row>
    <row r="41" spans="1:14" x14ac:dyDescent="0.3">
      <c r="A41" s="77"/>
      <c r="B41" s="113" t="s">
        <v>210</v>
      </c>
      <c r="C41" s="113" t="s">
        <v>213</v>
      </c>
      <c r="D41" s="113"/>
      <c r="E41" s="75" t="s">
        <v>214</v>
      </c>
      <c r="F41" s="75">
        <v>10000</v>
      </c>
      <c r="G41" s="76">
        <f>21/H9/1000</f>
        <v>2.9166666666666666E-5</v>
      </c>
      <c r="H41" s="117">
        <f t="shared" si="1"/>
        <v>9.9999708333333341</v>
      </c>
      <c r="I41" s="118"/>
      <c r="N41" s="119"/>
    </row>
    <row r="42" spans="1:14" x14ac:dyDescent="0.3">
      <c r="A42" s="77"/>
      <c r="B42" s="115" t="s">
        <v>215</v>
      </c>
      <c r="C42" s="115"/>
      <c r="D42" s="115"/>
      <c r="E42" s="75"/>
      <c r="F42" s="75"/>
      <c r="G42" s="76"/>
      <c r="H42" s="117"/>
      <c r="I42" s="118"/>
      <c r="N42" s="119"/>
    </row>
    <row r="43" spans="1:14" x14ac:dyDescent="0.3">
      <c r="A43" s="77" t="s">
        <v>216</v>
      </c>
      <c r="B43" s="113" t="s">
        <v>217</v>
      </c>
      <c r="C43" s="113"/>
      <c r="D43" s="113"/>
      <c r="E43" s="75" t="s">
        <v>218</v>
      </c>
      <c r="F43" s="75">
        <v>6300</v>
      </c>
      <c r="G43" s="76">
        <f>414480/H9/1000</f>
        <v>0.57566666666666666</v>
      </c>
      <c r="H43" s="117">
        <f>F43/1000-G43</f>
        <v>5.7243333333333331</v>
      </c>
      <c r="I43" s="118"/>
      <c r="N43" s="119"/>
    </row>
    <row r="44" spans="1:14" x14ac:dyDescent="0.3">
      <c r="A44" s="77" t="s">
        <v>219</v>
      </c>
      <c r="B44" s="113" t="s">
        <v>220</v>
      </c>
      <c r="C44" s="113" t="s">
        <v>221</v>
      </c>
      <c r="D44" s="113"/>
      <c r="E44" s="75" t="s">
        <v>186</v>
      </c>
      <c r="F44" s="75">
        <v>2500</v>
      </c>
      <c r="G44" s="76">
        <f>213092/H9/1000</f>
        <v>0.29596111111111112</v>
      </c>
      <c r="H44" s="117">
        <f>F44/1000-G44</f>
        <v>2.2040388888888889</v>
      </c>
      <c r="I44" s="118"/>
      <c r="J44" s="85" t="s">
        <v>222</v>
      </c>
      <c r="L44" s="121"/>
      <c r="N44" s="119"/>
    </row>
    <row r="45" spans="1:14" x14ac:dyDescent="0.3">
      <c r="A45" s="77"/>
      <c r="B45" s="115" t="s">
        <v>187</v>
      </c>
      <c r="C45" s="115"/>
      <c r="D45" s="115"/>
      <c r="E45" s="75"/>
      <c r="F45" s="75"/>
      <c r="G45" s="76"/>
      <c r="H45" s="117"/>
      <c r="I45" s="118"/>
      <c r="N45" s="119"/>
    </row>
    <row r="46" spans="1:14" x14ac:dyDescent="0.3">
      <c r="A46" s="77" t="s">
        <v>223</v>
      </c>
      <c r="B46" s="113" t="s">
        <v>224</v>
      </c>
      <c r="C46" s="113"/>
      <c r="D46" s="113"/>
      <c r="E46" s="75" t="s">
        <v>225</v>
      </c>
      <c r="F46" s="75">
        <v>3200</v>
      </c>
      <c r="G46" s="76">
        <f>86310/H9/1000</f>
        <v>0.119875</v>
      </c>
      <c r="H46" s="117">
        <f t="shared" ref="H46:H53" si="2">F46/1000-G46</f>
        <v>3.0801250000000002</v>
      </c>
      <c r="I46" s="118"/>
      <c r="N46" s="164" t="e">
        <f>96642/O26/1000</f>
        <v>#DIV/0!</v>
      </c>
    </row>
    <row r="47" spans="1:14" x14ac:dyDescent="0.3">
      <c r="A47" s="77" t="s">
        <v>226</v>
      </c>
      <c r="B47" s="113" t="s">
        <v>227</v>
      </c>
      <c r="C47" s="113"/>
      <c r="D47" s="113"/>
      <c r="E47" s="75" t="s">
        <v>228</v>
      </c>
      <c r="F47" s="75">
        <v>3200</v>
      </c>
      <c r="G47" s="76">
        <f>1894620/H9/1000</f>
        <v>2.6314166666666665</v>
      </c>
      <c r="H47" s="117">
        <f t="shared" si="2"/>
        <v>0.56858333333333366</v>
      </c>
      <c r="I47" s="118"/>
      <c r="N47" s="164" t="e">
        <f>1845795/O26/1000</f>
        <v>#DIV/0!</v>
      </c>
    </row>
    <row r="48" spans="1:14" x14ac:dyDescent="0.3">
      <c r="A48" s="77" t="s">
        <v>229</v>
      </c>
      <c r="B48" s="113" t="s">
        <v>230</v>
      </c>
      <c r="C48" s="113" t="s">
        <v>165</v>
      </c>
      <c r="D48" s="113"/>
      <c r="E48" s="75" t="s">
        <v>178</v>
      </c>
      <c r="F48" s="75">
        <v>2500</v>
      </c>
      <c r="G48" s="76">
        <f>0/H9/1000</f>
        <v>0</v>
      </c>
      <c r="H48" s="117">
        <f t="shared" si="2"/>
        <v>2.5</v>
      </c>
      <c r="I48" s="118"/>
      <c r="N48" s="119"/>
    </row>
    <row r="49" spans="1:14" x14ac:dyDescent="0.3">
      <c r="A49" s="77"/>
      <c r="B49" s="113"/>
      <c r="C49" s="113" t="s">
        <v>166</v>
      </c>
      <c r="D49" s="113"/>
      <c r="E49" s="75" t="s">
        <v>231</v>
      </c>
      <c r="F49" s="75">
        <v>2500</v>
      </c>
      <c r="G49" s="76">
        <f>417816/H9/1000</f>
        <v>0.58029999999999993</v>
      </c>
      <c r="H49" s="117">
        <f t="shared" si="2"/>
        <v>1.9197000000000002</v>
      </c>
      <c r="I49" s="118"/>
      <c r="N49" s="119"/>
    </row>
    <row r="50" spans="1:14" x14ac:dyDescent="0.3">
      <c r="A50" s="77" t="s">
        <v>232</v>
      </c>
      <c r="B50" s="113" t="s">
        <v>233</v>
      </c>
      <c r="C50" s="113" t="s">
        <v>165</v>
      </c>
      <c r="D50" s="113"/>
      <c r="E50" s="75">
        <v>6.62</v>
      </c>
      <c r="F50" s="75">
        <v>1800</v>
      </c>
      <c r="G50" s="76">
        <f>0/H9/1000</f>
        <v>0</v>
      </c>
      <c r="H50" s="117">
        <f t="shared" si="2"/>
        <v>1.8</v>
      </c>
      <c r="I50" s="118"/>
      <c r="N50" s="119"/>
    </row>
    <row r="51" spans="1:14" x14ac:dyDescent="0.3">
      <c r="A51" s="122"/>
      <c r="B51" s="112" t="s">
        <v>234</v>
      </c>
      <c r="C51" s="113" t="s">
        <v>166</v>
      </c>
      <c r="D51" s="113"/>
      <c r="E51" s="75">
        <v>11.1</v>
      </c>
      <c r="F51" s="75">
        <v>1600</v>
      </c>
      <c r="G51" s="76">
        <f>1075872/H9/1000</f>
        <v>1.4942666666666666</v>
      </c>
      <c r="H51" s="117">
        <f t="shared" si="2"/>
        <v>0.10573333333333346</v>
      </c>
      <c r="I51" s="118"/>
      <c r="N51" s="119"/>
    </row>
    <row r="52" spans="1:14" x14ac:dyDescent="0.3">
      <c r="A52" s="77" t="s">
        <v>235</v>
      </c>
      <c r="B52" s="112" t="s">
        <v>236</v>
      </c>
      <c r="C52" s="113"/>
      <c r="D52" s="113"/>
      <c r="E52" s="75">
        <v>0.4</v>
      </c>
      <c r="F52" s="75">
        <v>250</v>
      </c>
      <c r="G52" s="76">
        <f>(24856)/H9/1000</f>
        <v>3.4522222222222225E-2</v>
      </c>
      <c r="H52" s="117">
        <f t="shared" si="2"/>
        <v>0.21547777777777777</v>
      </c>
      <c r="I52" s="118"/>
      <c r="N52" s="119"/>
    </row>
    <row r="53" spans="1:14" x14ac:dyDescent="0.3">
      <c r="A53" s="123" t="s">
        <v>237</v>
      </c>
      <c r="B53" s="124" t="s">
        <v>305</v>
      </c>
      <c r="C53" s="125"/>
      <c r="D53" s="125"/>
      <c r="E53" s="126">
        <v>0.4</v>
      </c>
      <c r="F53" s="126">
        <v>630</v>
      </c>
      <c r="G53" s="168">
        <f>(17160)/H9/1000</f>
        <v>2.3833333333333331E-2</v>
      </c>
      <c r="H53" s="127">
        <f t="shared" si="2"/>
        <v>0.60616666666666663</v>
      </c>
      <c r="I53" s="118"/>
      <c r="N53" s="119"/>
    </row>
    <row r="54" spans="1:14" x14ac:dyDescent="0.3">
      <c r="A54" s="92"/>
      <c r="B54" s="128"/>
      <c r="C54" s="92"/>
      <c r="D54" s="92"/>
      <c r="E54" s="94"/>
      <c r="F54" s="94"/>
      <c r="G54" s="78"/>
      <c r="H54" s="129"/>
      <c r="I54" s="118"/>
      <c r="N54" s="119"/>
    </row>
    <row r="55" spans="1:14" x14ac:dyDescent="0.3">
      <c r="A55" s="92"/>
      <c r="B55" s="128"/>
      <c r="C55" s="92"/>
      <c r="D55" s="92"/>
      <c r="E55" s="94"/>
      <c r="F55" s="94"/>
      <c r="G55" s="78"/>
      <c r="H55" s="129"/>
      <c r="I55" s="118"/>
      <c r="N55" s="119"/>
    </row>
    <row r="56" spans="1:14" x14ac:dyDescent="0.3">
      <c r="C56" s="130"/>
      <c r="E56" s="130"/>
      <c r="H56" s="79"/>
    </row>
    <row r="57" spans="1:14" ht="18" x14ac:dyDescent="0.35">
      <c r="C57" s="131"/>
      <c r="D57" s="132"/>
      <c r="E57" s="130"/>
      <c r="G57" s="175" t="s">
        <v>238</v>
      </c>
      <c r="H57" s="175"/>
    </row>
    <row r="58" spans="1:14" x14ac:dyDescent="0.3">
      <c r="B58" s="176" t="s">
        <v>239</v>
      </c>
      <c r="C58" s="177"/>
      <c r="D58" s="177"/>
      <c r="E58" s="177"/>
      <c r="F58" s="177"/>
      <c r="G58" s="177"/>
      <c r="H58" s="177"/>
    </row>
    <row r="59" spans="1:14" ht="18" x14ac:dyDescent="0.35">
      <c r="B59" s="133"/>
      <c r="C59" s="134"/>
      <c r="D59" s="133" t="s">
        <v>240</v>
      </c>
      <c r="E59" s="130"/>
      <c r="G59" s="178" t="str">
        <f>G5</f>
        <v>за ноябрь 2023г.</v>
      </c>
      <c r="H59" s="178"/>
    </row>
    <row r="60" spans="1:14" x14ac:dyDescent="0.3">
      <c r="A60" s="169" t="s">
        <v>141</v>
      </c>
      <c r="B60" s="169" t="s">
        <v>241</v>
      </c>
      <c r="C60" s="135" t="s">
        <v>242</v>
      </c>
      <c r="D60" s="169" t="s">
        <v>243</v>
      </c>
      <c r="E60" s="135" t="s">
        <v>244</v>
      </c>
      <c r="F60" s="136" t="s">
        <v>245</v>
      </c>
      <c r="G60" s="169" t="s">
        <v>246</v>
      </c>
      <c r="H60" s="137" t="s">
        <v>247</v>
      </c>
    </row>
    <row r="61" spans="1:14" x14ac:dyDescent="0.3">
      <c r="A61" s="170"/>
      <c r="B61" s="170"/>
      <c r="C61" s="138" t="s">
        <v>248</v>
      </c>
      <c r="D61" s="170"/>
      <c r="E61" s="138" t="s">
        <v>249</v>
      </c>
      <c r="F61" s="139" t="s">
        <v>250</v>
      </c>
      <c r="G61" s="171"/>
      <c r="H61" s="138" t="s">
        <v>146</v>
      </c>
    </row>
    <row r="62" spans="1:14" x14ac:dyDescent="0.3">
      <c r="A62" s="140"/>
      <c r="B62" s="140"/>
      <c r="C62" s="80" t="s">
        <v>251</v>
      </c>
      <c r="D62" s="80" t="s">
        <v>252</v>
      </c>
      <c r="E62" s="80" t="s">
        <v>147</v>
      </c>
      <c r="F62" s="141" t="s">
        <v>149</v>
      </c>
      <c r="G62" s="80" t="s">
        <v>149</v>
      </c>
      <c r="H62" s="80" t="s">
        <v>149</v>
      </c>
    </row>
    <row r="63" spans="1:14" x14ac:dyDescent="0.3">
      <c r="A63" s="142"/>
      <c r="B63" s="143" t="s">
        <v>253</v>
      </c>
      <c r="C63" s="144"/>
      <c r="D63" s="143"/>
      <c r="E63" s="144"/>
      <c r="F63" s="145"/>
      <c r="G63" s="80"/>
      <c r="H63" s="80"/>
    </row>
    <row r="64" spans="1:14" x14ac:dyDescent="0.3">
      <c r="A64" s="146" t="s">
        <v>153</v>
      </c>
      <c r="B64" s="147" t="s">
        <v>254</v>
      </c>
      <c r="C64" s="148"/>
      <c r="D64" s="147"/>
      <c r="E64" s="148"/>
      <c r="F64" s="149"/>
      <c r="G64" s="150"/>
      <c r="H64" s="151">
        <v>720</v>
      </c>
    </row>
    <row r="65" spans="1:14" x14ac:dyDescent="0.3">
      <c r="A65" s="77"/>
      <c r="B65" s="113" t="s">
        <v>255</v>
      </c>
      <c r="C65" s="75">
        <v>176.7</v>
      </c>
      <c r="D65" s="113" t="s">
        <v>256</v>
      </c>
      <c r="E65" s="75">
        <v>110</v>
      </c>
      <c r="F65" s="75">
        <v>56.5</v>
      </c>
      <c r="G65" s="76">
        <f>4094970/H64/1000</f>
        <v>5.6874583333333328</v>
      </c>
      <c r="H65" s="152">
        <f>F65-G65</f>
        <v>50.812541666666668</v>
      </c>
    </row>
    <row r="66" spans="1:14" x14ac:dyDescent="0.3">
      <c r="A66" s="77"/>
      <c r="B66" s="113" t="s">
        <v>257</v>
      </c>
      <c r="C66" s="75">
        <v>176.7</v>
      </c>
      <c r="D66" s="113" t="s">
        <v>256</v>
      </c>
      <c r="E66" s="75">
        <v>110</v>
      </c>
      <c r="F66" s="75">
        <v>56.5</v>
      </c>
      <c r="G66" s="76">
        <f>5210238/H64/1000</f>
        <v>7.2364416666666669</v>
      </c>
      <c r="H66" s="152">
        <f t="shared" ref="H66:H107" si="3">F66-G66</f>
        <v>49.263558333333336</v>
      </c>
    </row>
    <row r="67" spans="1:14" x14ac:dyDescent="0.3">
      <c r="A67" s="77" t="s">
        <v>160</v>
      </c>
      <c r="B67" s="115" t="s">
        <v>258</v>
      </c>
      <c r="C67" s="153"/>
      <c r="D67" s="115"/>
      <c r="E67" s="153"/>
      <c r="F67" s="75"/>
      <c r="G67" s="76"/>
      <c r="H67" s="152"/>
    </row>
    <row r="68" spans="1:14" x14ac:dyDescent="0.3">
      <c r="A68" s="77"/>
      <c r="B68" s="113" t="s">
        <v>259</v>
      </c>
      <c r="C68" s="75">
        <v>10.26</v>
      </c>
      <c r="D68" s="113" t="s">
        <v>260</v>
      </c>
      <c r="E68" s="75">
        <v>110</v>
      </c>
      <c r="F68" s="75">
        <v>56.5</v>
      </c>
      <c r="G68" s="76">
        <f>(7260000-1975000)/H64/1000</f>
        <v>7.3402777777777777</v>
      </c>
      <c r="H68" s="152">
        <f t="shared" si="3"/>
        <v>49.159722222222221</v>
      </c>
      <c r="N68" s="154"/>
    </row>
    <row r="69" spans="1:14" x14ac:dyDescent="0.3">
      <c r="A69" s="77"/>
      <c r="B69" s="113" t="s">
        <v>261</v>
      </c>
      <c r="C69" s="75">
        <v>10.054</v>
      </c>
      <c r="D69" s="113" t="s">
        <v>260</v>
      </c>
      <c r="E69" s="75">
        <v>110</v>
      </c>
      <c r="F69" s="75">
        <v>56.5</v>
      </c>
      <c r="G69" s="76">
        <f>(7447000-2235000)/H64/1000</f>
        <v>7.2388888888888889</v>
      </c>
      <c r="H69" s="152">
        <f t="shared" si="3"/>
        <v>49.261111111111113</v>
      </c>
      <c r="I69" s="118"/>
      <c r="N69" s="154"/>
    </row>
    <row r="70" spans="1:14" x14ac:dyDescent="0.3">
      <c r="A70" s="77" t="s">
        <v>163</v>
      </c>
      <c r="B70" s="115" t="s">
        <v>262</v>
      </c>
      <c r="C70" s="153"/>
      <c r="D70" s="115"/>
      <c r="E70" s="153"/>
      <c r="F70" s="75"/>
      <c r="G70" s="76"/>
      <c r="H70" s="152">
        <f t="shared" si="3"/>
        <v>0</v>
      </c>
    </row>
    <row r="71" spans="1:14" x14ac:dyDescent="0.3">
      <c r="A71" s="77"/>
      <c r="B71" s="113" t="s">
        <v>263</v>
      </c>
      <c r="C71" s="75">
        <v>114.9</v>
      </c>
      <c r="D71" s="113" t="s">
        <v>264</v>
      </c>
      <c r="E71" s="75">
        <v>35</v>
      </c>
      <c r="F71" s="75">
        <v>11.4</v>
      </c>
      <c r="G71" s="76">
        <f>86611/H64/1000</f>
        <v>0.12029305555555556</v>
      </c>
      <c r="H71" s="152">
        <f t="shared" si="3"/>
        <v>11.279706944444445</v>
      </c>
    </row>
    <row r="72" spans="1:14" x14ac:dyDescent="0.3">
      <c r="A72" s="77"/>
      <c r="B72" s="113" t="s">
        <v>265</v>
      </c>
      <c r="C72" s="75">
        <v>67.099999999999994</v>
      </c>
      <c r="D72" s="113" t="s">
        <v>266</v>
      </c>
      <c r="E72" s="75">
        <v>35</v>
      </c>
      <c r="F72" s="75">
        <v>14.4</v>
      </c>
      <c r="G72" s="76">
        <f>42200/H64/1000</f>
        <v>5.8611111111111114E-2</v>
      </c>
      <c r="H72" s="152">
        <f t="shared" si="3"/>
        <v>14.34138888888889</v>
      </c>
    </row>
    <row r="73" spans="1:14" x14ac:dyDescent="0.3">
      <c r="A73" s="77"/>
      <c r="B73" s="113" t="s">
        <v>267</v>
      </c>
      <c r="C73" s="75">
        <v>27.2</v>
      </c>
      <c r="D73" s="113" t="s">
        <v>268</v>
      </c>
      <c r="E73" s="75">
        <v>35</v>
      </c>
      <c r="F73" s="75">
        <v>11.4</v>
      </c>
      <c r="G73" s="76">
        <f>445669/H64/1000</f>
        <v>0.61898472222222223</v>
      </c>
      <c r="H73" s="152">
        <f t="shared" si="3"/>
        <v>10.781015277777778</v>
      </c>
    </row>
    <row r="74" spans="1:14" x14ac:dyDescent="0.3">
      <c r="A74" s="77"/>
      <c r="B74" s="113" t="s">
        <v>269</v>
      </c>
      <c r="C74" s="75">
        <v>52.7</v>
      </c>
      <c r="D74" s="113" t="s">
        <v>260</v>
      </c>
      <c r="E74" s="75">
        <v>35</v>
      </c>
      <c r="F74" s="75">
        <v>17.899999999999999</v>
      </c>
      <c r="G74" s="76">
        <f>1118586/H64/1000</f>
        <v>1.5535916666666667</v>
      </c>
      <c r="H74" s="152">
        <f t="shared" si="3"/>
        <v>16.346408333333333</v>
      </c>
    </row>
    <row r="75" spans="1:14" x14ac:dyDescent="0.3">
      <c r="A75" s="77"/>
      <c r="B75" s="113" t="s">
        <v>270</v>
      </c>
      <c r="C75" s="75">
        <v>4.82</v>
      </c>
      <c r="D75" s="113" t="s">
        <v>271</v>
      </c>
      <c r="E75" s="75">
        <v>35</v>
      </c>
      <c r="F75" s="75">
        <v>17.899999999999999</v>
      </c>
      <c r="G75" s="76">
        <f>1024632/H64/1000</f>
        <v>1.4230999999999998</v>
      </c>
      <c r="H75" s="152">
        <f t="shared" si="3"/>
        <v>16.476900000000001</v>
      </c>
    </row>
    <row r="76" spans="1:14" x14ac:dyDescent="0.3">
      <c r="A76" s="77"/>
      <c r="B76" s="113" t="s">
        <v>272</v>
      </c>
      <c r="C76" s="75">
        <v>4.82</v>
      </c>
      <c r="D76" s="113" t="s">
        <v>271</v>
      </c>
      <c r="E76" s="75">
        <v>35</v>
      </c>
      <c r="F76" s="75">
        <v>17.899999999999999</v>
      </c>
      <c r="G76" s="76">
        <f>0/H64/1000</f>
        <v>0</v>
      </c>
      <c r="H76" s="152">
        <f t="shared" si="3"/>
        <v>17.899999999999999</v>
      </c>
    </row>
    <row r="77" spans="1:14" x14ac:dyDescent="0.3">
      <c r="A77" s="77"/>
      <c r="B77" s="113" t="s">
        <v>273</v>
      </c>
      <c r="C77" s="75">
        <v>22</v>
      </c>
      <c r="D77" s="113" t="s">
        <v>266</v>
      </c>
      <c r="E77" s="75">
        <v>35</v>
      </c>
      <c r="F77" s="75">
        <v>17.899999999999999</v>
      </c>
      <c r="G77" s="76">
        <f>222821/H64/1000</f>
        <v>0.3094736111111111</v>
      </c>
      <c r="H77" s="152">
        <f t="shared" si="3"/>
        <v>17.590526388888886</v>
      </c>
    </row>
    <row r="78" spans="1:14" x14ac:dyDescent="0.3">
      <c r="A78" s="77"/>
      <c r="B78" s="113" t="s">
        <v>274</v>
      </c>
      <c r="C78" s="75">
        <v>22</v>
      </c>
      <c r="D78" s="113" t="s">
        <v>266</v>
      </c>
      <c r="E78" s="75">
        <v>35</v>
      </c>
      <c r="F78" s="75">
        <v>17.899999999999999</v>
      </c>
      <c r="G78" s="76">
        <f>229981/H64/1000</f>
        <v>0.31941805555555558</v>
      </c>
      <c r="H78" s="152">
        <f t="shared" si="3"/>
        <v>17.580581944444443</v>
      </c>
    </row>
    <row r="79" spans="1:14" x14ac:dyDescent="0.3">
      <c r="A79" s="77" t="s">
        <v>167</v>
      </c>
      <c r="B79" s="115" t="s">
        <v>275</v>
      </c>
      <c r="C79" s="153"/>
      <c r="D79" s="115"/>
      <c r="E79" s="75"/>
      <c r="F79" s="75"/>
      <c r="G79" s="76"/>
      <c r="H79" s="152"/>
    </row>
    <row r="80" spans="1:14" x14ac:dyDescent="0.3">
      <c r="A80" s="77"/>
      <c r="B80" s="113" t="s">
        <v>276</v>
      </c>
      <c r="C80" s="75">
        <v>33.549999999999997</v>
      </c>
      <c r="D80" s="113" t="s">
        <v>264</v>
      </c>
      <c r="E80" s="75">
        <v>35</v>
      </c>
      <c r="F80" s="75">
        <v>9.5</v>
      </c>
      <c r="G80" s="76">
        <f>211043/H64/1000</f>
        <v>0.29311527777777779</v>
      </c>
      <c r="H80" s="152">
        <f t="shared" si="3"/>
        <v>9.2068847222222221</v>
      </c>
    </row>
    <row r="81" spans="1:8" x14ac:dyDescent="0.3">
      <c r="A81" s="77"/>
      <c r="B81" s="113" t="s">
        <v>277</v>
      </c>
      <c r="C81" s="75">
        <v>27.7</v>
      </c>
      <c r="D81" s="113" t="s">
        <v>266</v>
      </c>
      <c r="E81" s="75">
        <v>35</v>
      </c>
      <c r="F81" s="75">
        <v>9.5</v>
      </c>
      <c r="G81" s="76">
        <f>65818/H64/1000</f>
        <v>9.1413888888888892E-2</v>
      </c>
      <c r="H81" s="152">
        <f t="shared" si="3"/>
        <v>9.4085861111111111</v>
      </c>
    </row>
    <row r="82" spans="1:8" x14ac:dyDescent="0.3">
      <c r="A82" s="77"/>
      <c r="B82" s="113" t="s">
        <v>278</v>
      </c>
      <c r="C82" s="75">
        <v>18.62</v>
      </c>
      <c r="D82" s="113" t="s">
        <v>268</v>
      </c>
      <c r="E82" s="75">
        <v>35</v>
      </c>
      <c r="F82" s="75">
        <v>11.4</v>
      </c>
      <c r="G82" s="76">
        <f>280889/H64/1000</f>
        <v>0.39012361111111116</v>
      </c>
      <c r="H82" s="152">
        <f t="shared" si="3"/>
        <v>11.009876388888889</v>
      </c>
    </row>
    <row r="83" spans="1:8" x14ac:dyDescent="0.3">
      <c r="A83" s="77" t="s">
        <v>171</v>
      </c>
      <c r="B83" s="115" t="s">
        <v>279</v>
      </c>
      <c r="C83" s="153"/>
      <c r="D83" s="115"/>
      <c r="E83" s="75"/>
      <c r="F83" s="75"/>
      <c r="G83" s="76"/>
      <c r="H83" s="152"/>
    </row>
    <row r="84" spans="1:8" x14ac:dyDescent="0.3">
      <c r="A84" s="77"/>
      <c r="B84" s="113" t="s">
        <v>280</v>
      </c>
      <c r="C84" s="75">
        <v>22.5</v>
      </c>
      <c r="D84" s="113" t="s">
        <v>281</v>
      </c>
      <c r="E84" s="75">
        <v>35</v>
      </c>
      <c r="F84" s="75">
        <v>20.7</v>
      </c>
      <c r="G84" s="76">
        <f>6594/H64/1000</f>
        <v>9.1583333333333326E-3</v>
      </c>
      <c r="H84" s="152">
        <f t="shared" si="3"/>
        <v>20.690841666666667</v>
      </c>
    </row>
    <row r="85" spans="1:8" x14ac:dyDescent="0.3">
      <c r="A85" s="77"/>
      <c r="B85" s="113" t="s">
        <v>282</v>
      </c>
      <c r="C85" s="75">
        <v>19.690000000000001</v>
      </c>
      <c r="D85" s="113" t="s">
        <v>260</v>
      </c>
      <c r="E85" s="75">
        <v>35</v>
      </c>
      <c r="F85" s="75">
        <v>20.7</v>
      </c>
      <c r="G85" s="76">
        <f>419076/H64/1000</f>
        <v>0.58204999999999996</v>
      </c>
      <c r="H85" s="152">
        <f t="shared" si="3"/>
        <v>20.11795</v>
      </c>
    </row>
    <row r="86" spans="1:8" x14ac:dyDescent="0.3">
      <c r="A86" s="77" t="s">
        <v>175</v>
      </c>
      <c r="B86" s="115" t="s">
        <v>283</v>
      </c>
      <c r="C86" s="153"/>
      <c r="D86" s="115"/>
      <c r="E86" s="75"/>
      <c r="F86" s="75"/>
      <c r="G86" s="76"/>
      <c r="H86" s="152"/>
    </row>
    <row r="87" spans="1:8" x14ac:dyDescent="0.3">
      <c r="A87" s="77"/>
      <c r="B87" s="113" t="s">
        <v>284</v>
      </c>
      <c r="C87" s="75">
        <v>11.2</v>
      </c>
      <c r="D87" s="113" t="s">
        <v>268</v>
      </c>
      <c r="E87" s="75">
        <v>35</v>
      </c>
      <c r="F87" s="75">
        <v>11.4</v>
      </c>
      <c r="G87" s="76">
        <f>281060/H64/1000</f>
        <v>0.3903611111111111</v>
      </c>
      <c r="H87" s="152">
        <f t="shared" si="3"/>
        <v>11.009638888888889</v>
      </c>
    </row>
    <row r="88" spans="1:8" hidden="1" x14ac:dyDescent="0.3">
      <c r="A88" s="77"/>
      <c r="B88" s="113" t="s">
        <v>285</v>
      </c>
      <c r="C88" s="75">
        <v>12.6</v>
      </c>
      <c r="D88" s="113" t="s">
        <v>268</v>
      </c>
      <c r="E88" s="75">
        <v>35</v>
      </c>
      <c r="F88" s="75">
        <v>11.4</v>
      </c>
      <c r="G88" s="76">
        <v>0</v>
      </c>
      <c r="H88" s="152">
        <f t="shared" si="3"/>
        <v>11.4</v>
      </c>
    </row>
    <row r="89" spans="1:8" x14ac:dyDescent="0.3">
      <c r="A89" s="77" t="s">
        <v>180</v>
      </c>
      <c r="B89" s="115" t="s">
        <v>286</v>
      </c>
      <c r="C89" s="153"/>
      <c r="D89" s="115"/>
      <c r="E89" s="75"/>
      <c r="F89" s="75"/>
      <c r="G89" s="76"/>
      <c r="H89" s="152">
        <f>F89-G89</f>
        <v>0</v>
      </c>
    </row>
    <row r="90" spans="1:8" x14ac:dyDescent="0.3">
      <c r="A90" s="77"/>
      <c r="B90" s="113" t="s">
        <v>287</v>
      </c>
      <c r="C90" s="75">
        <v>13.5</v>
      </c>
      <c r="D90" s="113" t="s">
        <v>266</v>
      </c>
      <c r="E90" s="75">
        <v>35</v>
      </c>
      <c r="F90" s="75">
        <v>14.4</v>
      </c>
      <c r="G90" s="76">
        <f>154356/H64/1000</f>
        <v>0.21438333333333331</v>
      </c>
      <c r="H90" s="152">
        <f t="shared" si="3"/>
        <v>14.185616666666666</v>
      </c>
    </row>
    <row r="91" spans="1:8" x14ac:dyDescent="0.3">
      <c r="A91" s="77" t="s">
        <v>183</v>
      </c>
      <c r="B91" s="115" t="s">
        <v>288</v>
      </c>
      <c r="C91" s="153"/>
      <c r="D91" s="115"/>
      <c r="E91" s="153"/>
      <c r="F91" s="75"/>
      <c r="G91" s="76"/>
      <c r="H91" s="152"/>
    </row>
    <row r="92" spans="1:8" x14ac:dyDescent="0.3">
      <c r="A92" s="77"/>
      <c r="B92" s="113" t="s">
        <v>289</v>
      </c>
      <c r="C92" s="75">
        <v>42</v>
      </c>
      <c r="D92" s="113" t="s">
        <v>260</v>
      </c>
      <c r="E92" s="75">
        <v>110</v>
      </c>
      <c r="F92" s="75">
        <v>56.5</v>
      </c>
      <c r="G92" s="76">
        <f>1878769/H64/1000</f>
        <v>2.6094013888888892</v>
      </c>
      <c r="H92" s="152">
        <f t="shared" si="3"/>
        <v>53.890598611111109</v>
      </c>
    </row>
    <row r="93" spans="1:8" x14ac:dyDescent="0.3">
      <c r="A93" s="77"/>
      <c r="B93" s="113" t="s">
        <v>290</v>
      </c>
      <c r="C93" s="75">
        <v>63.2</v>
      </c>
      <c r="D93" s="113" t="s">
        <v>281</v>
      </c>
      <c r="E93" s="75">
        <v>110</v>
      </c>
      <c r="F93" s="120">
        <v>65</v>
      </c>
      <c r="G93" s="76">
        <f>267498/H64/1000</f>
        <v>0.37152499999999999</v>
      </c>
      <c r="H93" s="152">
        <f t="shared" si="3"/>
        <v>64.628474999999995</v>
      </c>
    </row>
    <row r="94" spans="1:8" x14ac:dyDescent="0.3">
      <c r="A94" s="77"/>
      <c r="B94" s="113" t="s">
        <v>291</v>
      </c>
      <c r="C94" s="75">
        <v>49</v>
      </c>
      <c r="D94" s="113" t="s">
        <v>292</v>
      </c>
      <c r="E94" s="75">
        <v>35</v>
      </c>
      <c r="F94" s="75">
        <v>11.4</v>
      </c>
      <c r="G94" s="76">
        <f>280923/H64/1000</f>
        <v>0.39017083333333336</v>
      </c>
      <c r="H94" s="152">
        <f t="shared" si="3"/>
        <v>11.009829166666666</v>
      </c>
    </row>
    <row r="95" spans="1:8" x14ac:dyDescent="0.3">
      <c r="A95" s="77" t="s">
        <v>188</v>
      </c>
      <c r="B95" s="115" t="s">
        <v>293</v>
      </c>
      <c r="C95" s="153"/>
      <c r="D95" s="115"/>
      <c r="E95" s="75"/>
      <c r="F95" s="75"/>
      <c r="G95" s="76"/>
      <c r="H95" s="152"/>
    </row>
    <row r="96" spans="1:8" x14ac:dyDescent="0.3">
      <c r="A96" s="77"/>
      <c r="B96" s="113" t="s">
        <v>294</v>
      </c>
      <c r="C96" s="75">
        <v>75.2</v>
      </c>
      <c r="D96" s="113" t="s">
        <v>266</v>
      </c>
      <c r="E96" s="75">
        <v>35</v>
      </c>
      <c r="F96" s="75">
        <v>11.4</v>
      </c>
      <c r="G96" s="76">
        <f>223718/H64/1000</f>
        <v>0.31071944444444444</v>
      </c>
      <c r="H96" s="152">
        <f t="shared" si="3"/>
        <v>11.089280555555556</v>
      </c>
    </row>
    <row r="97" spans="1:8" x14ac:dyDescent="0.3">
      <c r="A97" s="77" t="s">
        <v>191</v>
      </c>
      <c r="B97" s="115" t="s">
        <v>295</v>
      </c>
      <c r="C97" s="153"/>
      <c r="D97" s="115"/>
      <c r="E97" s="75"/>
      <c r="F97" s="75"/>
      <c r="G97" s="76"/>
      <c r="H97" s="152"/>
    </row>
    <row r="98" spans="1:8" x14ac:dyDescent="0.3">
      <c r="A98" s="77"/>
      <c r="B98" s="113" t="s">
        <v>296</v>
      </c>
      <c r="C98" s="75">
        <v>56.26</v>
      </c>
      <c r="D98" s="113" t="s">
        <v>260</v>
      </c>
      <c r="E98" s="75">
        <v>110</v>
      </c>
      <c r="F98" s="75">
        <v>56.5</v>
      </c>
      <c r="G98" s="76">
        <f>36146/H64/1000</f>
        <v>5.0202777777777777E-2</v>
      </c>
      <c r="H98" s="152">
        <f t="shared" si="3"/>
        <v>56.449797222222223</v>
      </c>
    </row>
    <row r="99" spans="1:8" x14ac:dyDescent="0.3">
      <c r="A99" s="77"/>
      <c r="B99" s="113" t="s">
        <v>297</v>
      </c>
      <c r="C99" s="75">
        <v>75.5</v>
      </c>
      <c r="D99" s="113" t="s">
        <v>256</v>
      </c>
      <c r="E99" s="75">
        <v>110</v>
      </c>
      <c r="F99" s="75">
        <v>56.5</v>
      </c>
      <c r="G99" s="76">
        <f>(848584-0)/H64/1000</f>
        <v>1.1785888888888889</v>
      </c>
      <c r="H99" s="152">
        <f t="shared" si="3"/>
        <v>55.321411111111111</v>
      </c>
    </row>
    <row r="100" spans="1:8" x14ac:dyDescent="0.3">
      <c r="A100" s="77"/>
      <c r="B100" s="113" t="s">
        <v>298</v>
      </c>
      <c r="C100" s="75">
        <v>95.9</v>
      </c>
      <c r="D100" s="113" t="s">
        <v>292</v>
      </c>
      <c r="E100" s="75">
        <v>35</v>
      </c>
      <c r="F100" s="75">
        <v>11.4</v>
      </c>
      <c r="G100" s="76">
        <f>141771/H64/1000</f>
        <v>0.19690416666666666</v>
      </c>
      <c r="H100" s="152">
        <f t="shared" si="3"/>
        <v>11.203095833333334</v>
      </c>
    </row>
    <row r="101" spans="1:8" x14ac:dyDescent="0.3">
      <c r="A101" s="77" t="s">
        <v>194</v>
      </c>
      <c r="B101" s="115" t="s">
        <v>299</v>
      </c>
      <c r="C101" s="153"/>
      <c r="D101" s="115"/>
      <c r="E101" s="75"/>
      <c r="F101" s="75"/>
      <c r="G101" s="76"/>
      <c r="H101" s="152"/>
    </row>
    <row r="102" spans="1:8" x14ac:dyDescent="0.3">
      <c r="A102" s="77"/>
      <c r="B102" s="113" t="s">
        <v>298</v>
      </c>
      <c r="C102" s="75">
        <v>43.3</v>
      </c>
      <c r="D102" s="113" t="s">
        <v>260</v>
      </c>
      <c r="E102" s="75">
        <v>35</v>
      </c>
      <c r="F102" s="75">
        <v>17.899999999999999</v>
      </c>
      <c r="G102" s="76">
        <f>2919/H64/1000</f>
        <v>4.054166666666666E-3</v>
      </c>
      <c r="H102" s="152">
        <f t="shared" si="3"/>
        <v>17.895945833333332</v>
      </c>
    </row>
    <row r="103" spans="1:8" x14ac:dyDescent="0.3">
      <c r="A103" s="77" t="s">
        <v>198</v>
      </c>
      <c r="B103" s="115" t="s">
        <v>300</v>
      </c>
      <c r="C103" s="153"/>
      <c r="D103" s="115"/>
      <c r="E103" s="75"/>
      <c r="F103" s="75"/>
      <c r="G103" s="76"/>
      <c r="H103" s="152"/>
    </row>
    <row r="104" spans="1:8" x14ac:dyDescent="0.3">
      <c r="A104" s="77"/>
      <c r="B104" s="113" t="s">
        <v>301</v>
      </c>
      <c r="C104" s="75">
        <v>42</v>
      </c>
      <c r="D104" s="113" t="s">
        <v>266</v>
      </c>
      <c r="E104" s="75">
        <v>35</v>
      </c>
      <c r="F104" s="75">
        <v>14.4</v>
      </c>
      <c r="G104" s="76">
        <f>0/H64/1000</f>
        <v>0</v>
      </c>
      <c r="H104" s="152">
        <f t="shared" si="3"/>
        <v>14.4</v>
      </c>
    </row>
    <row r="105" spans="1:8" x14ac:dyDescent="0.3">
      <c r="A105" s="77"/>
      <c r="B105" s="113" t="s">
        <v>302</v>
      </c>
      <c r="C105" s="75">
        <v>37</v>
      </c>
      <c r="D105" s="113" t="s">
        <v>266</v>
      </c>
      <c r="E105" s="75">
        <v>35</v>
      </c>
      <c r="F105" s="75">
        <v>14.4</v>
      </c>
      <c r="G105" s="76">
        <f>35504/H64/1000</f>
        <v>4.9311111111111111E-2</v>
      </c>
      <c r="H105" s="152">
        <f t="shared" si="3"/>
        <v>14.350688888888889</v>
      </c>
    </row>
    <row r="106" spans="1:8" x14ac:dyDescent="0.3">
      <c r="A106" s="77"/>
      <c r="B106" s="113" t="s">
        <v>297</v>
      </c>
      <c r="C106" s="75"/>
      <c r="D106" s="113" t="s">
        <v>266</v>
      </c>
      <c r="E106" s="75">
        <v>35</v>
      </c>
      <c r="F106" s="75">
        <v>14.4</v>
      </c>
      <c r="G106" s="76">
        <f>649358/H64/1000</f>
        <v>0.90188611111111106</v>
      </c>
      <c r="H106" s="152">
        <f t="shared" si="3"/>
        <v>13.49811388888889</v>
      </c>
    </row>
    <row r="107" spans="1:8" x14ac:dyDescent="0.3">
      <c r="A107" s="123"/>
      <c r="B107" s="125" t="s">
        <v>303</v>
      </c>
      <c r="C107" s="126">
        <v>91</v>
      </c>
      <c r="D107" s="125" t="s">
        <v>304</v>
      </c>
      <c r="E107" s="126">
        <v>35</v>
      </c>
      <c r="F107" s="126">
        <v>17.899999999999999</v>
      </c>
      <c r="G107" s="168">
        <f>108791/H64/1000</f>
        <v>0.15109861111111109</v>
      </c>
      <c r="H107" s="155">
        <f t="shared" si="3"/>
        <v>17.748901388888889</v>
      </c>
    </row>
  </sheetData>
  <mergeCells count="9">
    <mergeCell ref="A60:A61"/>
    <mergeCell ref="B60:B61"/>
    <mergeCell ref="D60:D61"/>
    <mergeCell ref="G60:G61"/>
    <mergeCell ref="G5:H5"/>
    <mergeCell ref="G6:G7"/>
    <mergeCell ref="G57:H57"/>
    <mergeCell ref="B58:H58"/>
    <mergeCell ref="G59:H59"/>
  </mergeCells>
  <printOptions horizontalCentered="1" verticalCentered="1"/>
  <pageMargins left="0.78740157480314965" right="0.19685039370078741" top="0.78740157480314965" bottom="0.39370078740157483" header="0" footer="0"/>
  <pageSetup paperSize="9" scale="80" fitToHeight="2" orientation="portrait" verticalDpi="144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08"/>
  <sheetViews>
    <sheetView tabSelected="1" workbookViewId="0">
      <selection activeCell="E14" sqref="E14"/>
    </sheetView>
  </sheetViews>
  <sheetFormatPr defaultColWidth="9.109375" defaultRowHeight="15.6" x14ac:dyDescent="0.3"/>
  <cols>
    <col min="1" max="1" width="5.33203125" style="69" customWidth="1"/>
    <col min="2" max="2" width="20.5546875" style="1" bestFit="1" customWidth="1"/>
    <col min="3" max="3" width="11.5546875" style="1" customWidth="1"/>
    <col min="4" max="4" width="21" style="1" customWidth="1"/>
    <col min="5" max="5" width="14" style="69" customWidth="1"/>
    <col min="6" max="6" width="18.33203125" style="1" customWidth="1"/>
    <col min="7" max="7" width="11.6640625" style="4" customWidth="1"/>
    <col min="8" max="8" width="26.109375" style="5" customWidth="1"/>
    <col min="9" max="16384" width="9.109375" style="1"/>
  </cols>
  <sheetData>
    <row r="1" spans="1:8" x14ac:dyDescent="0.3">
      <c r="A1" s="179" t="s">
        <v>0</v>
      </c>
      <c r="B1" s="179"/>
      <c r="C1" s="179"/>
      <c r="D1" s="179"/>
      <c r="E1" s="179"/>
      <c r="F1" s="179"/>
      <c r="G1" s="179"/>
      <c r="H1" s="179"/>
    </row>
    <row r="2" spans="1:8" x14ac:dyDescent="0.3">
      <c r="A2" s="179" t="s">
        <v>1</v>
      </c>
      <c r="B2" s="179"/>
      <c r="C2" s="179"/>
      <c r="D2" s="179"/>
      <c r="E2" s="179"/>
      <c r="F2" s="179"/>
      <c r="G2" s="179"/>
      <c r="H2" s="179"/>
    </row>
    <row r="4" spans="1:8" x14ac:dyDescent="0.3">
      <c r="A4" s="179" t="s">
        <v>2</v>
      </c>
      <c r="B4" s="179"/>
      <c r="C4" s="179"/>
      <c r="D4" s="179"/>
      <c r="E4" s="179"/>
      <c r="F4" s="179"/>
      <c r="G4" s="179"/>
      <c r="H4" s="179"/>
    </row>
    <row r="6" spans="1:8" x14ac:dyDescent="0.3">
      <c r="A6" s="179" t="s">
        <v>3</v>
      </c>
      <c r="B6" s="179"/>
      <c r="C6" s="179"/>
      <c r="D6" s="179"/>
      <c r="E6" s="179"/>
      <c r="F6" s="179"/>
      <c r="G6" s="179"/>
      <c r="H6" s="179"/>
    </row>
    <row r="7" spans="1:8" x14ac:dyDescent="0.3">
      <c r="B7" s="157" t="s">
        <v>310</v>
      </c>
    </row>
    <row r="8" spans="1:8" s="8" customFormat="1" ht="46.8" x14ac:dyDescent="0.3">
      <c r="A8" s="158" t="s">
        <v>4</v>
      </c>
      <c r="B8" s="158" t="s">
        <v>5</v>
      </c>
      <c r="C8" s="158" t="s">
        <v>6</v>
      </c>
      <c r="D8" s="158" t="s">
        <v>7</v>
      </c>
      <c r="E8" s="158" t="s">
        <v>8</v>
      </c>
      <c r="F8" s="158" t="s">
        <v>9</v>
      </c>
      <c r="G8" s="7" t="s">
        <v>10</v>
      </c>
      <c r="H8" s="7" t="s">
        <v>11</v>
      </c>
    </row>
    <row r="9" spans="1:8" x14ac:dyDescent="0.3">
      <c r="A9" s="9">
        <v>1</v>
      </c>
      <c r="B9" s="10" t="s">
        <v>12</v>
      </c>
      <c r="C9" s="11" t="s">
        <v>13</v>
      </c>
      <c r="D9" s="11" t="s">
        <v>14</v>
      </c>
      <c r="E9" s="9" t="s">
        <v>15</v>
      </c>
      <c r="F9" s="11">
        <v>25000</v>
      </c>
      <c r="G9" s="12">
        <v>0</v>
      </c>
      <c r="H9" s="13" t="s">
        <v>16</v>
      </c>
    </row>
    <row r="10" spans="1:8" x14ac:dyDescent="0.3">
      <c r="A10" s="14"/>
      <c r="B10" s="15"/>
      <c r="C10" s="16" t="s">
        <v>17</v>
      </c>
      <c r="D10" s="16" t="s">
        <v>14</v>
      </c>
      <c r="E10" s="14" t="s">
        <v>15</v>
      </c>
      <c r="F10" s="16">
        <v>25000</v>
      </c>
      <c r="G10" s="17">
        <v>0</v>
      </c>
      <c r="H10" s="18" t="s">
        <v>16</v>
      </c>
    </row>
    <row r="11" spans="1:8" x14ac:dyDescent="0.3">
      <c r="A11" s="19"/>
      <c r="B11" s="20"/>
      <c r="C11" s="21" t="s">
        <v>18</v>
      </c>
      <c r="D11" s="21" t="s">
        <v>14</v>
      </c>
      <c r="E11" s="19" t="s">
        <v>19</v>
      </c>
      <c r="F11" s="21">
        <v>2500</v>
      </c>
      <c r="G11" s="17">
        <f>22575/720000</f>
        <v>3.1354166666666669E-2</v>
      </c>
      <c r="H11" s="22">
        <f>F11/1000-G11</f>
        <v>2.4686458333333334</v>
      </c>
    </row>
    <row r="12" spans="1:8" x14ac:dyDescent="0.3">
      <c r="A12" s="9">
        <v>2</v>
      </c>
      <c r="B12" s="10" t="s">
        <v>20</v>
      </c>
      <c r="C12" s="11" t="s">
        <v>13</v>
      </c>
      <c r="D12" s="11" t="s">
        <v>21</v>
      </c>
      <c r="E12" s="9" t="s">
        <v>22</v>
      </c>
      <c r="F12" s="11">
        <v>16000</v>
      </c>
      <c r="G12" s="12">
        <f>2532288/720000</f>
        <v>3.5170666666666666</v>
      </c>
      <c r="H12" s="13">
        <f t="shared" ref="H12:H49" si="0">F12/1000-G12</f>
        <v>12.482933333333333</v>
      </c>
    </row>
    <row r="13" spans="1:8" x14ac:dyDescent="0.3">
      <c r="A13" s="19"/>
      <c r="B13" s="20"/>
      <c r="C13" s="21" t="s">
        <v>17</v>
      </c>
      <c r="D13" s="21" t="s">
        <v>21</v>
      </c>
      <c r="E13" s="19" t="s">
        <v>22</v>
      </c>
      <c r="F13" s="21">
        <v>16000</v>
      </c>
      <c r="G13" s="23">
        <f>1252878/720000</f>
        <v>1.7401083333333334</v>
      </c>
      <c r="H13" s="22">
        <f t="shared" si="0"/>
        <v>14.259891666666666</v>
      </c>
    </row>
    <row r="14" spans="1:8" x14ac:dyDescent="0.3">
      <c r="A14" s="24">
        <v>3</v>
      </c>
      <c r="B14" s="25" t="s">
        <v>23</v>
      </c>
      <c r="C14" s="26" t="s">
        <v>13</v>
      </c>
      <c r="D14" s="11" t="s">
        <v>21</v>
      </c>
      <c r="E14" s="24" t="s">
        <v>22</v>
      </c>
      <c r="F14" s="27">
        <v>10000</v>
      </c>
      <c r="G14" s="28">
        <f>92840/720000</f>
        <v>0.12894444444444444</v>
      </c>
      <c r="H14" s="29">
        <f t="shared" si="0"/>
        <v>9.8710555555555555</v>
      </c>
    </row>
    <row r="15" spans="1:8" x14ac:dyDescent="0.3">
      <c r="A15" s="30">
        <v>4</v>
      </c>
      <c r="B15" s="31" t="s">
        <v>24</v>
      </c>
      <c r="C15" s="27" t="s">
        <v>13</v>
      </c>
      <c r="D15" s="11" t="s">
        <v>21</v>
      </c>
      <c r="E15" s="30" t="s">
        <v>22</v>
      </c>
      <c r="F15" s="32">
        <v>10000</v>
      </c>
      <c r="G15" s="33">
        <f>55700/720000</f>
        <v>7.7361111111111117E-2</v>
      </c>
      <c r="H15" s="34">
        <f t="shared" si="0"/>
        <v>9.9226388888888888</v>
      </c>
    </row>
    <row r="16" spans="1:8" x14ac:dyDescent="0.3">
      <c r="A16" s="9">
        <v>5</v>
      </c>
      <c r="B16" s="10" t="s">
        <v>25</v>
      </c>
      <c r="C16" s="11" t="s">
        <v>13</v>
      </c>
      <c r="D16" s="165" t="s">
        <v>21</v>
      </c>
      <c r="E16" s="9" t="s">
        <v>22</v>
      </c>
      <c r="F16" s="11">
        <v>40000</v>
      </c>
      <c r="G16" s="12">
        <f>1917300/720000</f>
        <v>2.6629166666666668</v>
      </c>
      <c r="H16" s="13">
        <f t="shared" si="0"/>
        <v>37.337083333333332</v>
      </c>
    </row>
    <row r="17" spans="1:15" x14ac:dyDescent="0.3">
      <c r="A17" s="19"/>
      <c r="B17" s="20"/>
      <c r="C17" s="21" t="s">
        <v>17</v>
      </c>
      <c r="D17" s="21" t="s">
        <v>21</v>
      </c>
      <c r="E17" s="19" t="s">
        <v>27</v>
      </c>
      <c r="F17" s="21">
        <v>5600</v>
      </c>
      <c r="G17" s="23">
        <v>0</v>
      </c>
      <c r="H17" s="22" t="s">
        <v>16</v>
      </c>
    </row>
    <row r="18" spans="1:15" x14ac:dyDescent="0.3">
      <c r="A18" s="9">
        <v>6</v>
      </c>
      <c r="B18" s="10" t="s">
        <v>28</v>
      </c>
      <c r="C18" s="11" t="s">
        <v>13</v>
      </c>
      <c r="D18" s="11"/>
      <c r="E18" s="9" t="s">
        <v>29</v>
      </c>
      <c r="F18" s="11">
        <v>20000</v>
      </c>
      <c r="G18" s="37">
        <v>0</v>
      </c>
      <c r="H18" s="42" t="s">
        <v>16</v>
      </c>
    </row>
    <row r="19" spans="1:15" x14ac:dyDescent="0.3">
      <c r="A19" s="14"/>
      <c r="B19" s="15"/>
      <c r="C19" s="16" t="s">
        <v>17</v>
      </c>
      <c r="D19" s="16"/>
      <c r="E19" s="14" t="s">
        <v>29</v>
      </c>
      <c r="F19" s="16">
        <v>20000</v>
      </c>
      <c r="G19" s="17">
        <f>106710/720000</f>
        <v>0.14820833333333333</v>
      </c>
      <c r="H19" s="18">
        <f>F19/1000-G19</f>
        <v>19.851791666666667</v>
      </c>
    </row>
    <row r="20" spans="1:15" x14ac:dyDescent="0.3">
      <c r="A20" s="19"/>
      <c r="B20" s="20"/>
      <c r="C20" s="21" t="s">
        <v>18</v>
      </c>
      <c r="D20" s="21"/>
      <c r="E20" s="19" t="s">
        <v>22</v>
      </c>
      <c r="F20" s="21">
        <v>10000</v>
      </c>
      <c r="G20" s="23">
        <f>132818/720000</f>
        <v>0.18446944444444444</v>
      </c>
      <c r="H20" s="22">
        <f t="shared" si="0"/>
        <v>9.8155305555555561</v>
      </c>
    </row>
    <row r="21" spans="1:15" x14ac:dyDescent="0.3">
      <c r="A21" s="9">
        <v>7</v>
      </c>
      <c r="B21" s="10" t="s">
        <v>30</v>
      </c>
      <c r="C21" s="11" t="s">
        <v>13</v>
      </c>
      <c r="D21" s="11" t="s">
        <v>21</v>
      </c>
      <c r="E21" s="9" t="s">
        <v>29</v>
      </c>
      <c r="F21" s="11">
        <v>16000</v>
      </c>
      <c r="G21" s="37">
        <f>281190/720000</f>
        <v>0.39054166666666668</v>
      </c>
      <c r="H21" s="42">
        <f t="shared" si="0"/>
        <v>15.609458333333333</v>
      </c>
    </row>
    <row r="22" spans="1:15" x14ac:dyDescent="0.3">
      <c r="A22" s="19"/>
      <c r="B22" s="20"/>
      <c r="C22" s="21" t="s">
        <v>17</v>
      </c>
      <c r="D22" s="21"/>
      <c r="E22" s="19" t="s">
        <v>29</v>
      </c>
      <c r="F22" s="21">
        <v>16000</v>
      </c>
      <c r="G22" s="37">
        <v>0</v>
      </c>
      <c r="H22" s="42" t="s">
        <v>16</v>
      </c>
    </row>
    <row r="23" spans="1:15" x14ac:dyDescent="0.3">
      <c r="A23" s="30">
        <v>8</v>
      </c>
      <c r="B23" s="31" t="s">
        <v>31</v>
      </c>
      <c r="C23" s="27" t="s">
        <v>13</v>
      </c>
      <c r="D23" s="36" t="s">
        <v>32</v>
      </c>
      <c r="E23" s="30" t="s">
        <v>29</v>
      </c>
      <c r="F23" s="36">
        <v>2500</v>
      </c>
      <c r="G23" s="33">
        <f>52500/720000</f>
        <v>7.2916666666666671E-2</v>
      </c>
      <c r="H23" s="34">
        <f t="shared" si="0"/>
        <v>2.4270833333333335</v>
      </c>
    </row>
    <row r="24" spans="1:15" x14ac:dyDescent="0.3">
      <c r="A24" s="9">
        <v>9</v>
      </c>
      <c r="B24" s="10" t="s">
        <v>33</v>
      </c>
      <c r="C24" s="11" t="s">
        <v>13</v>
      </c>
      <c r="D24" s="11" t="s">
        <v>34</v>
      </c>
      <c r="E24" s="9" t="s">
        <v>22</v>
      </c>
      <c r="F24" s="11">
        <v>6300</v>
      </c>
      <c r="G24" s="37">
        <v>0</v>
      </c>
      <c r="H24" s="42" t="s">
        <v>16</v>
      </c>
    </row>
    <row r="25" spans="1:15" x14ac:dyDescent="0.3">
      <c r="A25" s="19"/>
      <c r="B25" s="20"/>
      <c r="C25" s="21" t="s">
        <v>17</v>
      </c>
      <c r="D25" s="21"/>
      <c r="E25" s="19" t="s">
        <v>22</v>
      </c>
      <c r="F25" s="21">
        <v>6300</v>
      </c>
      <c r="G25" s="23">
        <f>(787596+320544)/720000</f>
        <v>1.5390833333333334</v>
      </c>
      <c r="H25" s="22">
        <f t="shared" si="0"/>
        <v>4.7609166666666667</v>
      </c>
    </row>
    <row r="26" spans="1:15" x14ac:dyDescent="0.3">
      <c r="A26" s="9">
        <v>10</v>
      </c>
      <c r="B26" s="10" t="s">
        <v>35</v>
      </c>
      <c r="C26" s="11" t="s">
        <v>13</v>
      </c>
      <c r="D26" s="11" t="s">
        <v>21</v>
      </c>
      <c r="E26" s="9" t="s">
        <v>29</v>
      </c>
      <c r="F26" s="11">
        <v>16000</v>
      </c>
      <c r="G26" s="37">
        <f>1210080/720000</f>
        <v>1.6806666666666668</v>
      </c>
      <c r="H26" s="42">
        <f>F26/1000-G26</f>
        <v>14.319333333333333</v>
      </c>
      <c r="J26" s="1" t="s">
        <v>307</v>
      </c>
    </row>
    <row r="27" spans="1:15" x14ac:dyDescent="0.3">
      <c r="A27" s="19"/>
      <c r="B27" s="20"/>
      <c r="C27" s="21" t="s">
        <v>17</v>
      </c>
      <c r="D27" s="21"/>
      <c r="E27" s="19" t="s">
        <v>29</v>
      </c>
      <c r="F27" s="21">
        <v>16000</v>
      </c>
      <c r="G27" s="23">
        <f>606870/720000</f>
        <v>0.84287500000000004</v>
      </c>
      <c r="H27" s="42">
        <f>F27/1000-G27</f>
        <v>15.157125000000001</v>
      </c>
    </row>
    <row r="28" spans="1:15" x14ac:dyDescent="0.3">
      <c r="A28" s="30">
        <v>11</v>
      </c>
      <c r="B28" s="31" t="s">
        <v>36</v>
      </c>
      <c r="C28" s="27" t="s">
        <v>13</v>
      </c>
      <c r="D28" s="32" t="s">
        <v>39</v>
      </c>
      <c r="E28" s="30" t="s">
        <v>29</v>
      </c>
      <c r="F28" s="27">
        <v>2500</v>
      </c>
      <c r="G28" s="33">
        <f>19962/720000</f>
        <v>2.7725E-2</v>
      </c>
      <c r="H28" s="34">
        <f t="shared" si="0"/>
        <v>2.4722749999999998</v>
      </c>
    </row>
    <row r="29" spans="1:15" ht="31.2" x14ac:dyDescent="0.3">
      <c r="A29" s="30">
        <v>12</v>
      </c>
      <c r="B29" s="31" t="s">
        <v>38</v>
      </c>
      <c r="C29" s="27" t="s">
        <v>13</v>
      </c>
      <c r="D29" s="38" t="s">
        <v>37</v>
      </c>
      <c r="E29" s="30" t="s">
        <v>29</v>
      </c>
      <c r="F29" s="32">
        <v>2500</v>
      </c>
      <c r="G29" s="33">
        <f>41812/720000</f>
        <v>5.807222222222222E-2</v>
      </c>
      <c r="H29" s="34">
        <f t="shared" si="0"/>
        <v>2.4419277777777779</v>
      </c>
      <c r="O29" s="1" t="s">
        <v>307</v>
      </c>
    </row>
    <row r="30" spans="1:15" x14ac:dyDescent="0.3">
      <c r="A30" s="9">
        <v>13</v>
      </c>
      <c r="B30" s="10" t="s">
        <v>40</v>
      </c>
      <c r="C30" s="11" t="s">
        <v>13</v>
      </c>
      <c r="D30" s="11" t="s">
        <v>41</v>
      </c>
      <c r="E30" s="9" t="s">
        <v>22</v>
      </c>
      <c r="F30" s="11">
        <v>40000</v>
      </c>
      <c r="G30" s="37">
        <f>(6473586+142710)/720000</f>
        <v>9.1892999999999994</v>
      </c>
      <c r="H30" s="42">
        <f>F30/1000-G30</f>
        <v>30.810700000000001</v>
      </c>
    </row>
    <row r="31" spans="1:15" x14ac:dyDescent="0.3">
      <c r="A31" s="19"/>
      <c r="B31" s="20"/>
      <c r="C31" s="21" t="s">
        <v>17</v>
      </c>
      <c r="D31" s="21"/>
      <c r="E31" s="19" t="s">
        <v>22</v>
      </c>
      <c r="F31" s="21">
        <v>20000</v>
      </c>
      <c r="G31" s="23">
        <f>(209580+13110)/720000</f>
        <v>0.30929166666666669</v>
      </c>
      <c r="H31" s="42">
        <f>F31/1000-G31</f>
        <v>19.690708333333333</v>
      </c>
    </row>
    <row r="32" spans="1:15" ht="32.25" customHeight="1" x14ac:dyDescent="0.3">
      <c r="A32" s="9">
        <v>14</v>
      </c>
      <c r="B32" s="10" t="s">
        <v>42</v>
      </c>
      <c r="C32" s="11" t="s">
        <v>13</v>
      </c>
      <c r="D32" s="40" t="s">
        <v>308</v>
      </c>
      <c r="E32" s="9" t="s">
        <v>29</v>
      </c>
      <c r="F32" s="11">
        <v>10000</v>
      </c>
      <c r="G32" s="163">
        <v>0</v>
      </c>
      <c r="H32" s="13" t="s">
        <v>16</v>
      </c>
    </row>
    <row r="33" spans="1:8" x14ac:dyDescent="0.3">
      <c r="A33" s="19"/>
      <c r="B33" s="20"/>
      <c r="C33" s="21" t="s">
        <v>17</v>
      </c>
      <c r="D33" s="21"/>
      <c r="E33" s="19" t="s">
        <v>29</v>
      </c>
      <c r="F33" s="21">
        <v>10000</v>
      </c>
      <c r="G33" s="23">
        <f>859332/720000</f>
        <v>1.1935166666666666</v>
      </c>
      <c r="H33" s="22">
        <f t="shared" si="0"/>
        <v>8.8064833333333326</v>
      </c>
    </row>
    <row r="34" spans="1:8" ht="15" customHeight="1" x14ac:dyDescent="0.3">
      <c r="A34" s="30">
        <v>15</v>
      </c>
      <c r="B34" s="31" t="s">
        <v>43</v>
      </c>
      <c r="C34" s="27" t="s">
        <v>13</v>
      </c>
      <c r="D34" s="36" t="s">
        <v>44</v>
      </c>
      <c r="E34" s="30" t="s">
        <v>45</v>
      </c>
      <c r="F34" s="36">
        <v>6300</v>
      </c>
      <c r="G34" s="33">
        <f>108504/720000</f>
        <v>0.1507</v>
      </c>
      <c r="H34" s="34">
        <f t="shared" si="0"/>
        <v>6.1493000000000002</v>
      </c>
    </row>
    <row r="35" spans="1:8" ht="46.8" hidden="1" x14ac:dyDescent="0.3">
      <c r="A35" s="9">
        <v>16</v>
      </c>
      <c r="B35" s="10" t="s">
        <v>46</v>
      </c>
      <c r="C35" s="11" t="s">
        <v>13</v>
      </c>
      <c r="D35" s="40" t="s">
        <v>47</v>
      </c>
      <c r="E35" s="9" t="s">
        <v>29</v>
      </c>
      <c r="F35" s="11">
        <v>6300</v>
      </c>
      <c r="G35" s="12">
        <v>0</v>
      </c>
      <c r="H35" s="13" t="s">
        <v>16</v>
      </c>
    </row>
    <row r="36" spans="1:8" ht="12.75" hidden="1" customHeight="1" x14ac:dyDescent="0.3">
      <c r="A36" s="19"/>
      <c r="B36" s="20"/>
      <c r="C36" s="21" t="s">
        <v>17</v>
      </c>
      <c r="D36" s="21"/>
      <c r="E36" s="41" t="s">
        <v>48</v>
      </c>
      <c r="F36" s="21">
        <v>10000</v>
      </c>
      <c r="G36" s="23">
        <v>0</v>
      </c>
      <c r="H36" s="22" t="s">
        <v>16</v>
      </c>
    </row>
    <row r="37" spans="1:8" x14ac:dyDescent="0.3">
      <c r="A37" s="9">
        <v>17</v>
      </c>
      <c r="B37" s="10" t="s">
        <v>49</v>
      </c>
      <c r="C37" s="11" t="s">
        <v>13</v>
      </c>
      <c r="D37" s="165" t="s">
        <v>21</v>
      </c>
      <c r="E37" s="9" t="s">
        <v>27</v>
      </c>
      <c r="F37" s="11">
        <v>5600</v>
      </c>
      <c r="G37" s="35">
        <f>207128/720000</f>
        <v>0.28767777777777775</v>
      </c>
      <c r="H37" s="39">
        <f t="shared" si="0"/>
        <v>5.3123222222222219</v>
      </c>
    </row>
    <row r="38" spans="1:8" x14ac:dyDescent="0.3">
      <c r="A38" s="19"/>
      <c r="B38" s="20"/>
      <c r="C38" s="21" t="s">
        <v>17</v>
      </c>
      <c r="D38" s="21"/>
      <c r="E38" s="19" t="s">
        <v>27</v>
      </c>
      <c r="F38" s="21">
        <v>5600</v>
      </c>
      <c r="G38" s="23">
        <v>0</v>
      </c>
      <c r="H38" s="22" t="s">
        <v>16</v>
      </c>
    </row>
    <row r="39" spans="1:8" x14ac:dyDescent="0.3">
      <c r="A39" s="30">
        <v>18</v>
      </c>
      <c r="B39" s="31" t="s">
        <v>51</v>
      </c>
      <c r="C39" s="27" t="s">
        <v>13</v>
      </c>
      <c r="D39" s="36" t="s">
        <v>50</v>
      </c>
      <c r="E39" s="30" t="s">
        <v>27</v>
      </c>
      <c r="F39" s="36">
        <v>560</v>
      </c>
      <c r="G39" s="33">
        <f>4803/720000</f>
        <v>6.6708333333333333E-3</v>
      </c>
      <c r="H39" s="34">
        <f t="shared" si="0"/>
        <v>0.55332916666666676</v>
      </c>
    </row>
    <row r="40" spans="1:8" x14ac:dyDescent="0.3">
      <c r="A40" s="9">
        <v>19</v>
      </c>
      <c r="B40" s="10" t="s">
        <v>52</v>
      </c>
      <c r="C40" s="11" t="s">
        <v>13</v>
      </c>
      <c r="D40" s="165" t="s">
        <v>21</v>
      </c>
      <c r="E40" s="9" t="s">
        <v>27</v>
      </c>
      <c r="F40" s="11">
        <v>2500</v>
      </c>
      <c r="G40" s="37">
        <v>0</v>
      </c>
      <c r="H40" s="42" t="s">
        <v>16</v>
      </c>
    </row>
    <row r="41" spans="1:8" x14ac:dyDescent="0.3">
      <c r="A41" s="19"/>
      <c r="B41" s="20"/>
      <c r="C41" s="21" t="s">
        <v>17</v>
      </c>
      <c r="D41" s="21" t="s">
        <v>21</v>
      </c>
      <c r="E41" s="19" t="s">
        <v>27</v>
      </c>
      <c r="F41" s="21">
        <v>2500</v>
      </c>
      <c r="G41" s="23">
        <f>3967/720000</f>
        <v>5.5097222222222223E-3</v>
      </c>
      <c r="H41" s="22">
        <f t="shared" si="0"/>
        <v>2.494490277777778</v>
      </c>
    </row>
    <row r="42" spans="1:8" x14ac:dyDescent="0.3">
      <c r="A42" s="30">
        <v>20</v>
      </c>
      <c r="B42" s="31" t="s">
        <v>53</v>
      </c>
      <c r="C42" s="27" t="s">
        <v>13</v>
      </c>
      <c r="D42" s="27" t="s">
        <v>14</v>
      </c>
      <c r="E42" s="30" t="s">
        <v>27</v>
      </c>
      <c r="F42" s="27">
        <v>1600</v>
      </c>
      <c r="G42" s="33">
        <f>25655/720000</f>
        <v>3.5631944444444445E-2</v>
      </c>
      <c r="H42" s="34">
        <f t="shared" si="0"/>
        <v>1.5643680555555557</v>
      </c>
    </row>
    <row r="43" spans="1:8" x14ac:dyDescent="0.3">
      <c r="A43" s="30">
        <v>21</v>
      </c>
      <c r="B43" s="31" t="s">
        <v>54</v>
      </c>
      <c r="C43" s="27" t="s">
        <v>13</v>
      </c>
      <c r="D43" s="27" t="s">
        <v>55</v>
      </c>
      <c r="E43" s="30" t="s">
        <v>27</v>
      </c>
      <c r="F43" s="27">
        <v>6300</v>
      </c>
      <c r="G43" s="33">
        <f>43353/720000</f>
        <v>6.0212500000000002E-2</v>
      </c>
      <c r="H43" s="34">
        <f t="shared" si="0"/>
        <v>6.2397875000000003</v>
      </c>
    </row>
    <row r="44" spans="1:8" ht="31.2" x14ac:dyDescent="0.3">
      <c r="A44" s="9">
        <v>22</v>
      </c>
      <c r="B44" s="10" t="s">
        <v>56</v>
      </c>
      <c r="C44" s="11" t="s">
        <v>13</v>
      </c>
      <c r="D44" s="40" t="s">
        <v>57</v>
      </c>
      <c r="E44" s="9" t="s">
        <v>27</v>
      </c>
      <c r="F44" s="11">
        <v>4000</v>
      </c>
      <c r="G44" s="37">
        <f>56304/720000</f>
        <v>7.8200000000000006E-2</v>
      </c>
      <c r="H44" s="37">
        <f>F44/1000-G44</f>
        <v>3.9218000000000002</v>
      </c>
    </row>
    <row r="45" spans="1:8" x14ac:dyDescent="0.3">
      <c r="A45" s="19"/>
      <c r="B45" s="20"/>
      <c r="C45" s="21" t="s">
        <v>17</v>
      </c>
      <c r="D45" s="21"/>
      <c r="E45" s="19" t="s">
        <v>27</v>
      </c>
      <c r="F45" s="21">
        <v>4000</v>
      </c>
      <c r="G45" s="23">
        <v>0</v>
      </c>
      <c r="H45" s="22" t="s">
        <v>16</v>
      </c>
    </row>
    <row r="46" spans="1:8" x14ac:dyDescent="0.3">
      <c r="A46" s="9">
        <v>23</v>
      </c>
      <c r="B46" s="10" t="s">
        <v>58</v>
      </c>
      <c r="C46" s="11" t="s">
        <v>13</v>
      </c>
      <c r="D46" s="11" t="s">
        <v>59</v>
      </c>
      <c r="E46" s="9" t="s">
        <v>27</v>
      </c>
      <c r="F46" s="11">
        <v>4000</v>
      </c>
      <c r="G46" s="35">
        <v>0</v>
      </c>
      <c r="H46" s="39" t="s">
        <v>16</v>
      </c>
    </row>
    <row r="47" spans="1:8" x14ac:dyDescent="0.3">
      <c r="A47" s="19"/>
      <c r="B47" s="20"/>
      <c r="C47" s="21" t="s">
        <v>17</v>
      </c>
      <c r="D47" s="21"/>
      <c r="E47" s="19" t="s">
        <v>27</v>
      </c>
      <c r="F47" s="21">
        <v>4000</v>
      </c>
      <c r="G47" s="23">
        <f>63276/720000</f>
        <v>8.7883333333333327E-2</v>
      </c>
      <c r="H47" s="23">
        <f>F47/1000-G47</f>
        <v>3.9121166666666665</v>
      </c>
    </row>
    <row r="48" spans="1:8" x14ac:dyDescent="0.3">
      <c r="A48" s="30">
        <v>24</v>
      </c>
      <c r="B48" s="31" t="s">
        <v>60</v>
      </c>
      <c r="C48" s="27" t="s">
        <v>13</v>
      </c>
      <c r="D48" s="27" t="s">
        <v>61</v>
      </c>
      <c r="E48" s="30" t="s">
        <v>62</v>
      </c>
      <c r="F48" s="27"/>
      <c r="G48" s="33">
        <v>0</v>
      </c>
      <c r="H48" s="34" t="s">
        <v>63</v>
      </c>
    </row>
    <row r="49" spans="1:10" x14ac:dyDescent="0.3">
      <c r="A49" s="30">
        <v>25</v>
      </c>
      <c r="B49" s="31" t="s">
        <v>64</v>
      </c>
      <c r="C49" s="27" t="s">
        <v>13</v>
      </c>
      <c r="D49" s="27" t="s">
        <v>65</v>
      </c>
      <c r="E49" s="30" t="s">
        <v>27</v>
      </c>
      <c r="F49" s="27">
        <v>1000</v>
      </c>
      <c r="G49" s="33">
        <f>76300/720000</f>
        <v>0.10597222222222222</v>
      </c>
      <c r="H49" s="34">
        <f t="shared" si="0"/>
        <v>0.89402777777777775</v>
      </c>
    </row>
    <row r="50" spans="1:10" x14ac:dyDescent="0.3">
      <c r="A50" s="30">
        <v>26</v>
      </c>
      <c r="B50" s="31" t="s">
        <v>66</v>
      </c>
      <c r="C50" s="27" t="s">
        <v>13</v>
      </c>
      <c r="D50" s="27" t="s">
        <v>26</v>
      </c>
      <c r="E50" s="30" t="s">
        <v>19</v>
      </c>
      <c r="F50" s="27">
        <v>2500</v>
      </c>
      <c r="G50" s="33">
        <v>0</v>
      </c>
      <c r="H50" s="34" t="s">
        <v>16</v>
      </c>
    </row>
    <row r="51" spans="1:10" x14ac:dyDescent="0.3">
      <c r="A51" s="3"/>
      <c r="B51" s="2"/>
      <c r="C51" s="2"/>
      <c r="D51" s="2"/>
      <c r="E51" s="3"/>
      <c r="F51" s="2"/>
    </row>
    <row r="52" spans="1:10" x14ac:dyDescent="0.3">
      <c r="A52" s="180" t="s">
        <v>67</v>
      </c>
      <c r="B52" s="180"/>
      <c r="C52" s="180"/>
      <c r="D52" s="180"/>
      <c r="E52" s="180"/>
      <c r="F52" s="180"/>
      <c r="G52" s="180"/>
      <c r="H52" s="180"/>
    </row>
    <row r="53" spans="1:10" x14ac:dyDescent="0.3">
      <c r="A53" s="3"/>
      <c r="B53" s="2"/>
      <c r="C53" s="2"/>
      <c r="D53" s="2"/>
      <c r="E53" s="3"/>
      <c r="F53" s="2"/>
    </row>
    <row r="54" spans="1:10" ht="62.4" x14ac:dyDescent="0.3">
      <c r="A54" s="6" t="s">
        <v>4</v>
      </c>
      <c r="B54" s="6" t="s">
        <v>68</v>
      </c>
      <c r="C54" s="6" t="s">
        <v>69</v>
      </c>
      <c r="D54" s="6" t="s">
        <v>70</v>
      </c>
      <c r="E54" s="6" t="s">
        <v>8</v>
      </c>
      <c r="F54" s="6" t="s">
        <v>71</v>
      </c>
      <c r="G54" s="7" t="s">
        <v>72</v>
      </c>
      <c r="H54" s="7" t="s">
        <v>11</v>
      </c>
    </row>
    <row r="55" spans="1:10" x14ac:dyDescent="0.3">
      <c r="A55" s="30"/>
      <c r="B55" s="159" t="s">
        <v>73</v>
      </c>
      <c r="C55" s="31"/>
      <c r="D55" s="27"/>
      <c r="E55" s="159"/>
      <c r="F55" s="27"/>
      <c r="G55" s="33"/>
      <c r="H55" s="34"/>
    </row>
    <row r="56" spans="1:10" x14ac:dyDescent="0.3">
      <c r="A56" s="9">
        <v>1</v>
      </c>
      <c r="B56" s="10" t="s">
        <v>74</v>
      </c>
      <c r="C56" s="43">
        <v>3.3</v>
      </c>
      <c r="D56" s="44">
        <v>120</v>
      </c>
      <c r="E56" s="11">
        <v>110</v>
      </c>
      <c r="F56" s="45">
        <f>1.73*115*330/1000</f>
        <v>65.653499999999994</v>
      </c>
      <c r="G56" s="17">
        <f>6832503/720000</f>
        <v>9.4895875000000007</v>
      </c>
      <c r="H56" s="46">
        <f t="shared" ref="H56:H108" si="1">F56-G56</f>
        <v>56.163912499999995</v>
      </c>
    </row>
    <row r="57" spans="1:10" x14ac:dyDescent="0.3">
      <c r="A57" s="14">
        <v>2</v>
      </c>
      <c r="B57" s="15" t="s">
        <v>75</v>
      </c>
      <c r="C57" s="47">
        <v>217.4</v>
      </c>
      <c r="D57" s="48">
        <v>150</v>
      </c>
      <c r="E57" s="16">
        <v>110</v>
      </c>
      <c r="F57" s="46">
        <f>1.73*115*445/1000</f>
        <v>88.532749999999993</v>
      </c>
      <c r="G57" s="17">
        <f>3959083/720000</f>
        <v>5.4987263888888886</v>
      </c>
      <c r="H57" s="46">
        <f t="shared" si="1"/>
        <v>83.03402361111111</v>
      </c>
    </row>
    <row r="58" spans="1:10" x14ac:dyDescent="0.3">
      <c r="A58" s="14">
        <v>3</v>
      </c>
      <c r="B58" s="15" t="s">
        <v>76</v>
      </c>
      <c r="C58" s="47">
        <v>217.4</v>
      </c>
      <c r="D58" s="48">
        <v>150</v>
      </c>
      <c r="E58" s="16">
        <v>110</v>
      </c>
      <c r="F58" s="46">
        <f>1.73*115*445/1000</f>
        <v>88.532749999999993</v>
      </c>
      <c r="G58" s="17">
        <f>1039834/720000</f>
        <v>1.4442138888888889</v>
      </c>
      <c r="H58" s="46">
        <f t="shared" si="1"/>
        <v>87.088536111111111</v>
      </c>
    </row>
    <row r="59" spans="1:10" x14ac:dyDescent="0.3">
      <c r="A59" s="14">
        <v>4</v>
      </c>
      <c r="B59" s="15" t="s">
        <v>77</v>
      </c>
      <c r="C59" s="49">
        <v>17.3</v>
      </c>
      <c r="D59" s="48" t="s">
        <v>78</v>
      </c>
      <c r="E59" s="16">
        <v>110</v>
      </c>
      <c r="F59" s="46">
        <f>1.73*115*445/1000</f>
        <v>88.532749999999993</v>
      </c>
      <c r="G59" s="17">
        <f>5608218/720000</f>
        <v>7.7891916666666665</v>
      </c>
      <c r="H59" s="46">
        <f t="shared" si="1"/>
        <v>80.743558333333326</v>
      </c>
      <c r="J59" s="1" t="s">
        <v>307</v>
      </c>
    </row>
    <row r="60" spans="1:10" x14ac:dyDescent="0.3">
      <c r="A60" s="14">
        <v>5</v>
      </c>
      <c r="B60" s="15" t="s">
        <v>79</v>
      </c>
      <c r="C60" s="47">
        <v>17.3</v>
      </c>
      <c r="D60" s="48" t="s">
        <v>78</v>
      </c>
      <c r="E60" s="16">
        <v>110</v>
      </c>
      <c r="F60" s="46">
        <f>1.73*115*445/1000</f>
        <v>88.532749999999993</v>
      </c>
      <c r="G60" s="17">
        <f>3109513/720000</f>
        <v>4.3187680555555552</v>
      </c>
      <c r="H60" s="46">
        <f t="shared" si="1"/>
        <v>84.213981944444441</v>
      </c>
    </row>
    <row r="61" spans="1:10" x14ac:dyDescent="0.3">
      <c r="A61" s="14">
        <v>6</v>
      </c>
      <c r="B61" s="15" t="s">
        <v>80</v>
      </c>
      <c r="C61" s="47">
        <v>47.1</v>
      </c>
      <c r="D61" s="48">
        <v>120</v>
      </c>
      <c r="E61" s="16">
        <v>110</v>
      </c>
      <c r="F61" s="46">
        <f>1.73*115*445/1000</f>
        <v>88.532749999999993</v>
      </c>
      <c r="G61" s="17">
        <f>320921/720000</f>
        <v>0.44572361111111108</v>
      </c>
      <c r="H61" s="46">
        <f t="shared" si="1"/>
        <v>88.087026388888887</v>
      </c>
    </row>
    <row r="62" spans="1:10" x14ac:dyDescent="0.3">
      <c r="A62" s="14">
        <v>7</v>
      </c>
      <c r="B62" s="15" t="s">
        <v>81</v>
      </c>
      <c r="C62" s="47">
        <v>36.9</v>
      </c>
      <c r="D62" s="48">
        <v>120</v>
      </c>
      <c r="E62" s="16">
        <v>110</v>
      </c>
      <c r="F62" s="46">
        <f>1.73*115*380/1000</f>
        <v>75.600999999999999</v>
      </c>
      <c r="G62" s="17">
        <f>4594390/720000</f>
        <v>6.3810972222222224</v>
      </c>
      <c r="H62" s="46">
        <f t="shared" si="1"/>
        <v>69.219902777777776</v>
      </c>
    </row>
    <row r="63" spans="1:10" x14ac:dyDescent="0.3">
      <c r="A63" s="14">
        <v>8</v>
      </c>
      <c r="B63" s="15" t="s">
        <v>82</v>
      </c>
      <c r="C63" s="49">
        <v>39.32</v>
      </c>
      <c r="D63" s="48">
        <v>185</v>
      </c>
      <c r="E63" s="16">
        <v>110</v>
      </c>
      <c r="F63" s="46">
        <f>1.73*115*510/1000</f>
        <v>101.4645</v>
      </c>
      <c r="G63" s="17">
        <f>9606518/720000</f>
        <v>13.342386111111111</v>
      </c>
      <c r="H63" s="46">
        <f t="shared" si="1"/>
        <v>88.12211388888889</v>
      </c>
    </row>
    <row r="64" spans="1:10" x14ac:dyDescent="0.3">
      <c r="A64" s="14">
        <v>9</v>
      </c>
      <c r="B64" s="15" t="s">
        <v>83</v>
      </c>
      <c r="C64" s="47">
        <v>172.4</v>
      </c>
      <c r="D64" s="48">
        <v>185</v>
      </c>
      <c r="E64" s="16">
        <v>110</v>
      </c>
      <c r="F64" s="46">
        <f>1.73*115*510/1000</f>
        <v>101.4645</v>
      </c>
      <c r="G64" s="17">
        <f>1477596/720000</f>
        <v>2.0522166666666668</v>
      </c>
      <c r="H64" s="81">
        <f t="shared" si="1"/>
        <v>99.412283333333335</v>
      </c>
    </row>
    <row r="65" spans="1:8" x14ac:dyDescent="0.3">
      <c r="A65" s="14">
        <v>10</v>
      </c>
      <c r="B65" s="15" t="s">
        <v>84</v>
      </c>
      <c r="C65" s="47">
        <v>3.35</v>
      </c>
      <c r="D65" s="48">
        <v>120</v>
      </c>
      <c r="E65" s="16">
        <v>110</v>
      </c>
      <c r="F65" s="46">
        <f>1.73*115*380/1000</f>
        <v>75.600999999999999</v>
      </c>
      <c r="G65" s="17">
        <f>339818/720000</f>
        <v>0.47196944444444444</v>
      </c>
      <c r="H65" s="81">
        <f t="shared" si="1"/>
        <v>75.129030555555559</v>
      </c>
    </row>
    <row r="66" spans="1:8" x14ac:dyDescent="0.3">
      <c r="A66" s="19">
        <v>11</v>
      </c>
      <c r="B66" s="20" t="s">
        <v>85</v>
      </c>
      <c r="C66" s="50">
        <v>19</v>
      </c>
      <c r="D66" s="51">
        <v>35</v>
      </c>
      <c r="E66" s="21">
        <v>35</v>
      </c>
      <c r="F66" s="52">
        <f>1.73*37*175/1000</f>
        <v>11.201750000000001</v>
      </c>
      <c r="G66" s="23">
        <f>79226/720000</f>
        <v>0.11003611111111111</v>
      </c>
      <c r="H66" s="52">
        <f t="shared" si="1"/>
        <v>11.09171388888889</v>
      </c>
    </row>
    <row r="67" spans="1:8" x14ac:dyDescent="0.3">
      <c r="A67" s="30"/>
      <c r="B67" s="159" t="s">
        <v>86</v>
      </c>
      <c r="C67" s="53"/>
      <c r="D67" s="54"/>
      <c r="E67" s="159"/>
      <c r="F67" s="160"/>
      <c r="G67" s="33"/>
      <c r="H67" s="160"/>
    </row>
    <row r="68" spans="1:8" x14ac:dyDescent="0.3">
      <c r="A68" s="9">
        <v>12</v>
      </c>
      <c r="B68" s="10" t="s">
        <v>87</v>
      </c>
      <c r="C68" s="55">
        <v>89.5</v>
      </c>
      <c r="D68" s="44">
        <v>120</v>
      </c>
      <c r="E68" s="11">
        <v>110</v>
      </c>
      <c r="F68" s="45">
        <f>1.73*115*380/1000</f>
        <v>75.600999999999999</v>
      </c>
      <c r="G68" s="12">
        <f>61949/720000</f>
        <v>8.6040277777777771E-2</v>
      </c>
      <c r="H68" s="161">
        <f t="shared" si="1"/>
        <v>75.514959722222216</v>
      </c>
    </row>
    <row r="69" spans="1:8" x14ac:dyDescent="0.3">
      <c r="A69" s="14">
        <v>13</v>
      </c>
      <c r="B69" s="15" t="s">
        <v>88</v>
      </c>
      <c r="C69" s="47">
        <v>118.61</v>
      </c>
      <c r="D69" s="48">
        <v>120</v>
      </c>
      <c r="E69" s="16">
        <v>110</v>
      </c>
      <c r="F69" s="46">
        <f>1.73*115*380/1000</f>
        <v>75.600999999999999</v>
      </c>
      <c r="G69" s="37">
        <f>3843/720000</f>
        <v>5.3375000000000002E-3</v>
      </c>
      <c r="H69" s="166">
        <f t="shared" si="1"/>
        <v>75.595662500000003</v>
      </c>
    </row>
    <row r="70" spans="1:8" x14ac:dyDescent="0.3">
      <c r="A70" s="19">
        <v>14</v>
      </c>
      <c r="B70" s="20" t="s">
        <v>89</v>
      </c>
      <c r="C70" s="50">
        <v>90.5</v>
      </c>
      <c r="D70" s="51">
        <v>120</v>
      </c>
      <c r="E70" s="21">
        <v>110</v>
      </c>
      <c r="F70" s="52">
        <f>1.73*115*380/1000</f>
        <v>75.600999999999999</v>
      </c>
      <c r="G70" s="23">
        <f>1130151/720000</f>
        <v>1.5696541666666666</v>
      </c>
      <c r="H70" s="52">
        <f t="shared" si="1"/>
        <v>74.031345833333333</v>
      </c>
    </row>
    <row r="71" spans="1:8" x14ac:dyDescent="0.3">
      <c r="A71" s="30"/>
      <c r="B71" s="159" t="s">
        <v>90</v>
      </c>
      <c r="C71" s="56"/>
      <c r="D71" s="54"/>
      <c r="E71" s="159"/>
      <c r="F71" s="160"/>
      <c r="G71" s="33"/>
      <c r="H71" s="160"/>
    </row>
    <row r="72" spans="1:8" x14ac:dyDescent="0.3">
      <c r="A72" s="9">
        <v>15</v>
      </c>
      <c r="B72" s="10" t="s">
        <v>91</v>
      </c>
      <c r="C72" s="43">
        <v>51</v>
      </c>
      <c r="D72" s="44">
        <v>185</v>
      </c>
      <c r="E72" s="11">
        <v>110</v>
      </c>
      <c r="F72" s="45">
        <f>1.73*115*510/1000</f>
        <v>101.4645</v>
      </c>
      <c r="G72" s="35">
        <f>6043257/720000</f>
        <v>8.3934125000000002</v>
      </c>
      <c r="H72" s="60">
        <f t="shared" si="1"/>
        <v>93.071087500000004</v>
      </c>
    </row>
    <row r="73" spans="1:8" x14ac:dyDescent="0.3">
      <c r="A73" s="19">
        <v>16</v>
      </c>
      <c r="B73" s="20" t="s">
        <v>92</v>
      </c>
      <c r="C73" s="57">
        <v>2.2599999999999998</v>
      </c>
      <c r="D73" s="51">
        <v>70</v>
      </c>
      <c r="E73" s="21">
        <v>35</v>
      </c>
      <c r="F73" s="52">
        <f>1.73*37*265/1000</f>
        <v>16.96265</v>
      </c>
      <c r="G73" s="23">
        <f>1722674/720000</f>
        <v>2.3926027777777779</v>
      </c>
      <c r="H73" s="52">
        <f t="shared" si="1"/>
        <v>14.570047222222222</v>
      </c>
    </row>
    <row r="74" spans="1:8" x14ac:dyDescent="0.3">
      <c r="A74" s="30"/>
      <c r="B74" s="159" t="s">
        <v>93</v>
      </c>
      <c r="C74" s="53"/>
      <c r="D74" s="54"/>
      <c r="E74" s="159"/>
      <c r="F74" s="160"/>
      <c r="G74" s="33"/>
      <c r="H74" s="160"/>
    </row>
    <row r="75" spans="1:8" x14ac:dyDescent="0.3">
      <c r="A75" s="9">
        <v>17</v>
      </c>
      <c r="B75" s="10" t="s">
        <v>94</v>
      </c>
      <c r="C75" s="43">
        <v>30</v>
      </c>
      <c r="D75" s="44">
        <v>95</v>
      </c>
      <c r="E75" s="11">
        <v>35</v>
      </c>
      <c r="F75" s="45">
        <f>1.73*37*330/1000</f>
        <v>21.123300000000004</v>
      </c>
      <c r="G75" s="12">
        <f>35022/720000</f>
        <v>4.8641666666666666E-2</v>
      </c>
      <c r="H75" s="45">
        <f t="shared" si="1"/>
        <v>21.074658333333339</v>
      </c>
    </row>
    <row r="76" spans="1:8" x14ac:dyDescent="0.3">
      <c r="A76" s="14">
        <v>18</v>
      </c>
      <c r="B76" s="15" t="s">
        <v>95</v>
      </c>
      <c r="C76" s="47">
        <v>53.3</v>
      </c>
      <c r="D76" s="48">
        <v>70</v>
      </c>
      <c r="E76" s="16">
        <v>35</v>
      </c>
      <c r="F76" s="46">
        <f>1.73*37*265/1000</f>
        <v>16.96265</v>
      </c>
      <c r="G76" s="17">
        <f>1198068/720000</f>
        <v>1.6639833333333334</v>
      </c>
      <c r="H76" s="46">
        <f t="shared" si="1"/>
        <v>15.298666666666666</v>
      </c>
    </row>
    <row r="77" spans="1:8" x14ac:dyDescent="0.3">
      <c r="A77" s="14">
        <v>19</v>
      </c>
      <c r="B77" s="15" t="s">
        <v>96</v>
      </c>
      <c r="C77" s="49">
        <v>30.9</v>
      </c>
      <c r="D77" s="48">
        <v>70</v>
      </c>
      <c r="E77" s="16">
        <v>35</v>
      </c>
      <c r="F77" s="46">
        <f>1.73*37*265/1000</f>
        <v>16.96265</v>
      </c>
      <c r="G77" s="37">
        <f>98356/720000</f>
        <v>0.13660555555555556</v>
      </c>
      <c r="H77" s="81">
        <f t="shared" si="1"/>
        <v>16.826044444444445</v>
      </c>
    </row>
    <row r="78" spans="1:8" x14ac:dyDescent="0.3">
      <c r="A78" s="14">
        <v>20</v>
      </c>
      <c r="B78" s="15" t="s">
        <v>97</v>
      </c>
      <c r="C78" s="47">
        <v>33.14</v>
      </c>
      <c r="D78" s="48">
        <v>70</v>
      </c>
      <c r="E78" s="16">
        <v>35</v>
      </c>
      <c r="F78" s="46">
        <f>1.73*37*265/1000</f>
        <v>16.96265</v>
      </c>
      <c r="G78" s="17">
        <f>95/720000</f>
        <v>1.3194444444444443E-4</v>
      </c>
      <c r="H78" s="46">
        <f t="shared" si="1"/>
        <v>16.962518055555556</v>
      </c>
    </row>
    <row r="79" spans="1:8" x14ac:dyDescent="0.3">
      <c r="A79" s="19">
        <v>21</v>
      </c>
      <c r="B79" s="20" t="s">
        <v>98</v>
      </c>
      <c r="C79" s="57">
        <v>44.5</v>
      </c>
      <c r="D79" s="51">
        <v>95</v>
      </c>
      <c r="E79" s="21">
        <v>35</v>
      </c>
      <c r="F79" s="52">
        <f>1.73*37*330/1000</f>
        <v>21.123300000000004</v>
      </c>
      <c r="G79" s="28">
        <f>56643/720000</f>
        <v>7.8670833333333329E-2</v>
      </c>
      <c r="H79" s="156">
        <f t="shared" si="1"/>
        <v>21.04462916666667</v>
      </c>
    </row>
    <row r="80" spans="1:8" x14ac:dyDescent="0.3">
      <c r="A80" s="30"/>
      <c r="B80" s="159" t="s">
        <v>99</v>
      </c>
      <c r="C80" s="56"/>
      <c r="D80" s="54"/>
      <c r="E80" s="159"/>
      <c r="F80" s="160"/>
      <c r="G80" s="33"/>
      <c r="H80" s="160"/>
    </row>
    <row r="81" spans="1:8" x14ac:dyDescent="0.3">
      <c r="A81" s="30">
        <v>22</v>
      </c>
      <c r="B81" s="31" t="s">
        <v>100</v>
      </c>
      <c r="C81" s="53">
        <v>15.4</v>
      </c>
      <c r="D81" s="54">
        <v>95</v>
      </c>
      <c r="E81" s="27">
        <v>35</v>
      </c>
      <c r="F81" s="58">
        <f>1.73*37*330/1000</f>
        <v>21.123300000000004</v>
      </c>
      <c r="G81" s="33">
        <v>0</v>
      </c>
      <c r="H81" s="59" t="s">
        <v>16</v>
      </c>
    </row>
    <row r="82" spans="1:8" hidden="1" x14ac:dyDescent="0.3">
      <c r="A82" s="30"/>
      <c r="B82" s="159" t="s">
        <v>101</v>
      </c>
      <c r="C82" s="56"/>
      <c r="D82" s="54"/>
      <c r="E82" s="159"/>
      <c r="F82" s="160"/>
      <c r="G82" s="33"/>
      <c r="H82" s="160"/>
    </row>
    <row r="83" spans="1:8" hidden="1" x14ac:dyDescent="0.3">
      <c r="A83" s="30">
        <v>23</v>
      </c>
      <c r="B83" s="31" t="s">
        <v>102</v>
      </c>
      <c r="C83" s="53">
        <v>4</v>
      </c>
      <c r="D83" s="54">
        <v>95</v>
      </c>
      <c r="E83" s="27">
        <v>110</v>
      </c>
      <c r="F83" s="58">
        <f>1.73*115*330/1000</f>
        <v>65.653499999999994</v>
      </c>
      <c r="G83" s="33">
        <v>0</v>
      </c>
      <c r="H83" s="59" t="s">
        <v>16</v>
      </c>
    </row>
    <row r="84" spans="1:8" x14ac:dyDescent="0.3">
      <c r="A84" s="30"/>
      <c r="B84" s="159" t="s">
        <v>103</v>
      </c>
      <c r="C84" s="56"/>
      <c r="D84" s="54"/>
      <c r="E84" s="159"/>
      <c r="F84" s="160"/>
      <c r="G84" s="33"/>
      <c r="H84" s="160"/>
    </row>
    <row r="85" spans="1:8" x14ac:dyDescent="0.3">
      <c r="A85" s="9">
        <v>24</v>
      </c>
      <c r="B85" s="10" t="s">
        <v>88</v>
      </c>
      <c r="C85" s="43">
        <v>118.61</v>
      </c>
      <c r="D85" s="44">
        <v>120</v>
      </c>
      <c r="E85" s="11">
        <v>110</v>
      </c>
      <c r="F85" s="45">
        <f>1.73*115*380/1000</f>
        <v>75.600999999999999</v>
      </c>
      <c r="G85" s="35">
        <f>2735700/720000</f>
        <v>3.7995833333333335</v>
      </c>
      <c r="H85" s="46">
        <f t="shared" si="1"/>
        <v>71.801416666666668</v>
      </c>
    </row>
    <row r="86" spans="1:8" x14ac:dyDescent="0.3">
      <c r="A86" s="14">
        <v>25</v>
      </c>
      <c r="B86" s="15" t="s">
        <v>104</v>
      </c>
      <c r="C86" s="47">
        <v>48.3</v>
      </c>
      <c r="D86" s="48">
        <v>185</v>
      </c>
      <c r="E86" s="16">
        <v>110</v>
      </c>
      <c r="F86" s="46">
        <f>1.73*115*510/1000</f>
        <v>101.4645</v>
      </c>
      <c r="G86" s="17">
        <f>2386560/720000</f>
        <v>3.3146666666666667</v>
      </c>
      <c r="H86" s="46">
        <f t="shared" si="1"/>
        <v>98.149833333333333</v>
      </c>
    </row>
    <row r="87" spans="1:8" x14ac:dyDescent="0.3">
      <c r="A87" s="19">
        <v>26</v>
      </c>
      <c r="B87" s="20" t="s">
        <v>105</v>
      </c>
      <c r="C87" s="57">
        <v>30.5</v>
      </c>
      <c r="D87" s="51">
        <v>50</v>
      </c>
      <c r="E87" s="21">
        <v>35</v>
      </c>
      <c r="F87" s="52">
        <f>1.73*37*210/1000</f>
        <v>13.4421</v>
      </c>
      <c r="G87" s="23">
        <f>1071893/720000</f>
        <v>1.4887402777777778</v>
      </c>
      <c r="H87" s="52">
        <f t="shared" si="1"/>
        <v>11.953359722222222</v>
      </c>
    </row>
    <row r="88" spans="1:8" x14ac:dyDescent="0.3">
      <c r="A88" s="30"/>
      <c r="B88" s="159" t="s">
        <v>106</v>
      </c>
      <c r="C88" s="53"/>
      <c r="D88" s="54"/>
      <c r="E88" s="159"/>
      <c r="F88" s="160"/>
      <c r="G88" s="33"/>
      <c r="H88" s="160"/>
    </row>
    <row r="89" spans="1:8" x14ac:dyDescent="0.3">
      <c r="A89" s="9">
        <v>27</v>
      </c>
      <c r="B89" s="10" t="s">
        <v>107</v>
      </c>
      <c r="C89" s="43">
        <v>38.4</v>
      </c>
      <c r="D89" s="44">
        <v>120</v>
      </c>
      <c r="E89" s="11">
        <v>110</v>
      </c>
      <c r="F89" s="45">
        <f>1.73*115*380/1000</f>
        <v>75.600999999999999</v>
      </c>
      <c r="G89" s="35">
        <f>3622520/720000</f>
        <v>5.0312777777777775</v>
      </c>
      <c r="H89" s="60">
        <f>F89-G89</f>
        <v>70.569722222222225</v>
      </c>
    </row>
    <row r="90" spans="1:8" x14ac:dyDescent="0.3">
      <c r="A90" s="19">
        <v>28</v>
      </c>
      <c r="B90" s="20" t="s">
        <v>108</v>
      </c>
      <c r="C90" s="50">
        <v>1.6</v>
      </c>
      <c r="D90" s="51">
        <v>70</v>
      </c>
      <c r="E90" s="21">
        <v>35</v>
      </c>
      <c r="F90" s="52">
        <f>1.73*37*265/1000</f>
        <v>16.96265</v>
      </c>
      <c r="G90" s="23">
        <v>0</v>
      </c>
      <c r="H90" s="162" t="s">
        <v>16</v>
      </c>
    </row>
    <row r="91" spans="1:8" x14ac:dyDescent="0.3">
      <c r="A91" s="30"/>
      <c r="B91" s="159" t="s">
        <v>109</v>
      </c>
      <c r="C91" s="56"/>
      <c r="D91" s="54"/>
      <c r="E91" s="159"/>
      <c r="F91" s="160"/>
      <c r="G91" s="33"/>
      <c r="H91" s="160"/>
    </row>
    <row r="92" spans="1:8" x14ac:dyDescent="0.3">
      <c r="A92" s="30">
        <v>29</v>
      </c>
      <c r="B92" s="31" t="s">
        <v>110</v>
      </c>
      <c r="C92" s="53">
        <v>45.2</v>
      </c>
      <c r="D92" s="54">
        <v>70</v>
      </c>
      <c r="E92" s="27">
        <v>35</v>
      </c>
      <c r="F92" s="58">
        <f>1.73*37*265/1000</f>
        <v>16.96265</v>
      </c>
      <c r="G92" s="33">
        <f>96265/720000</f>
        <v>0.13370138888888888</v>
      </c>
      <c r="H92" s="58">
        <f t="shared" si="1"/>
        <v>16.828948611111112</v>
      </c>
    </row>
    <row r="93" spans="1:8" x14ac:dyDescent="0.3">
      <c r="A93" s="30"/>
      <c r="B93" s="159" t="s">
        <v>111</v>
      </c>
      <c r="C93" s="56"/>
      <c r="D93" s="54"/>
      <c r="E93" s="159"/>
      <c r="F93" s="160"/>
      <c r="G93" s="33"/>
      <c r="H93" s="160"/>
    </row>
    <row r="94" spans="1:8" x14ac:dyDescent="0.3">
      <c r="A94" s="30">
        <v>30</v>
      </c>
      <c r="B94" s="31" t="s">
        <v>112</v>
      </c>
      <c r="C94" s="53">
        <v>65</v>
      </c>
      <c r="D94" s="54" t="s">
        <v>113</v>
      </c>
      <c r="E94" s="27">
        <v>35</v>
      </c>
      <c r="F94" s="58">
        <f>1.73*37*265/1000</f>
        <v>16.96265</v>
      </c>
      <c r="G94" s="33">
        <f>1014216/720000</f>
        <v>1.4086333333333334</v>
      </c>
      <c r="H94" s="58">
        <f t="shared" si="1"/>
        <v>15.554016666666666</v>
      </c>
    </row>
    <row r="95" spans="1:8" x14ac:dyDescent="0.3">
      <c r="A95" s="30"/>
      <c r="B95" s="159" t="s">
        <v>114</v>
      </c>
      <c r="C95" s="53"/>
      <c r="D95" s="54"/>
      <c r="E95" s="159"/>
      <c r="F95" s="160"/>
      <c r="G95" s="33"/>
      <c r="H95" s="160"/>
    </row>
    <row r="96" spans="1:8" x14ac:dyDescent="0.3">
      <c r="A96" s="9">
        <v>31</v>
      </c>
      <c r="B96" s="10" t="s">
        <v>115</v>
      </c>
      <c r="C96" s="43">
        <v>71.2</v>
      </c>
      <c r="D96" s="44">
        <v>70</v>
      </c>
      <c r="E96" s="11">
        <v>35</v>
      </c>
      <c r="F96" s="45">
        <f>1.73*37*265/1000</f>
        <v>16.96265</v>
      </c>
      <c r="G96" s="12">
        <f>3795/720000</f>
        <v>5.2708333333333331E-3</v>
      </c>
      <c r="H96" s="45">
        <f t="shared" si="1"/>
        <v>16.957379166666666</v>
      </c>
    </row>
    <row r="97" spans="1:8" x14ac:dyDescent="0.3">
      <c r="A97" s="19">
        <v>32</v>
      </c>
      <c r="B97" s="20" t="s">
        <v>116</v>
      </c>
      <c r="C97" s="61">
        <v>38.6</v>
      </c>
      <c r="D97" s="62">
        <v>95</v>
      </c>
      <c r="E97" s="21">
        <v>35</v>
      </c>
      <c r="F97" s="52">
        <f>1.73*37*330/1000</f>
        <v>21.123300000000004</v>
      </c>
      <c r="G97" s="23">
        <f>25655/720000</f>
        <v>3.5631944444444445E-2</v>
      </c>
      <c r="H97" s="52">
        <f t="shared" si="1"/>
        <v>21.087668055555561</v>
      </c>
    </row>
    <row r="98" spans="1:8" x14ac:dyDescent="0.3">
      <c r="A98" s="30"/>
      <c r="B98" s="159" t="s">
        <v>117</v>
      </c>
      <c r="C98" s="63"/>
      <c r="D98" s="64"/>
      <c r="E98" s="159"/>
      <c r="F98" s="160"/>
      <c r="G98" s="33"/>
      <c r="H98" s="160"/>
    </row>
    <row r="99" spans="1:8" x14ac:dyDescent="0.3">
      <c r="A99" s="30">
        <v>33</v>
      </c>
      <c r="B99" s="31" t="s">
        <v>118</v>
      </c>
      <c r="C99" s="63">
        <v>17.7</v>
      </c>
      <c r="D99" s="64">
        <v>70</v>
      </c>
      <c r="E99" s="27">
        <v>35</v>
      </c>
      <c r="F99" s="58">
        <f>1.73*37*265/1000</f>
        <v>16.96265</v>
      </c>
      <c r="G99" s="33">
        <f>5043/720000</f>
        <v>7.0041666666666664E-3</v>
      </c>
      <c r="H99" s="58">
        <f t="shared" si="1"/>
        <v>16.955645833333332</v>
      </c>
    </row>
    <row r="100" spans="1:8" x14ac:dyDescent="0.3">
      <c r="A100" s="30"/>
      <c r="B100" s="159" t="s">
        <v>119</v>
      </c>
      <c r="C100" s="63"/>
      <c r="D100" s="64"/>
      <c r="E100" s="159"/>
      <c r="F100" s="160"/>
      <c r="G100" s="33"/>
      <c r="H100" s="160"/>
    </row>
    <row r="101" spans="1:8" x14ac:dyDescent="0.3">
      <c r="A101" s="30">
        <v>34</v>
      </c>
      <c r="B101" s="31" t="s">
        <v>120</v>
      </c>
      <c r="C101" s="63">
        <v>19.5</v>
      </c>
      <c r="D101" s="64">
        <v>95</v>
      </c>
      <c r="E101" s="27">
        <v>35</v>
      </c>
      <c r="F101" s="58">
        <f>1.73*37*330/1000</f>
        <v>21.123300000000004</v>
      </c>
      <c r="G101" s="33">
        <f>130879/720000</f>
        <v>0.18177638888888889</v>
      </c>
      <c r="H101" s="58">
        <f t="shared" si="1"/>
        <v>20.941523611111116</v>
      </c>
    </row>
    <row r="102" spans="1:8" x14ac:dyDescent="0.3">
      <c r="A102" s="30"/>
      <c r="B102" s="159" t="s">
        <v>121</v>
      </c>
      <c r="C102" s="63"/>
      <c r="D102" s="64"/>
      <c r="E102" s="159"/>
      <c r="F102" s="160"/>
      <c r="G102" s="33"/>
      <c r="H102" s="160"/>
    </row>
    <row r="103" spans="1:8" x14ac:dyDescent="0.3">
      <c r="A103" s="9">
        <v>35</v>
      </c>
      <c r="B103" s="10" t="s">
        <v>122</v>
      </c>
      <c r="C103" s="65">
        <v>28.96</v>
      </c>
      <c r="D103" s="66">
        <v>70</v>
      </c>
      <c r="E103" s="11">
        <v>35</v>
      </c>
      <c r="F103" s="45">
        <f>1.73*37*265/1000</f>
        <v>16.96265</v>
      </c>
      <c r="G103" s="12">
        <f>47740/720000</f>
        <v>6.6305555555555562E-2</v>
      </c>
      <c r="H103" s="45">
        <f t="shared" si="1"/>
        <v>16.896344444444445</v>
      </c>
    </row>
    <row r="104" spans="1:8" x14ac:dyDescent="0.3">
      <c r="A104" s="14">
        <v>36</v>
      </c>
      <c r="B104" s="15" t="s">
        <v>123</v>
      </c>
      <c r="C104" s="67">
        <v>15</v>
      </c>
      <c r="D104" s="68">
        <v>70</v>
      </c>
      <c r="E104" s="16">
        <v>35</v>
      </c>
      <c r="F104" s="46">
        <f>1.73*37*265/1000</f>
        <v>16.96265</v>
      </c>
      <c r="G104" s="17">
        <f>218288/720000</f>
        <v>0.30317777777777777</v>
      </c>
      <c r="H104" s="81">
        <f t="shared" si="1"/>
        <v>16.659472222222224</v>
      </c>
    </row>
    <row r="105" spans="1:8" x14ac:dyDescent="0.3">
      <c r="A105" s="19">
        <v>37</v>
      </c>
      <c r="B105" s="20" t="s">
        <v>124</v>
      </c>
      <c r="C105" s="61">
        <v>35.26</v>
      </c>
      <c r="D105" s="62">
        <v>70</v>
      </c>
      <c r="E105" s="21">
        <v>35</v>
      </c>
      <c r="F105" s="52">
        <f>1.73*37*265/1000</f>
        <v>16.96265</v>
      </c>
      <c r="G105" s="23">
        <v>0</v>
      </c>
      <c r="H105" s="162" t="s">
        <v>16</v>
      </c>
    </row>
    <row r="106" spans="1:8" x14ac:dyDescent="0.3">
      <c r="A106" s="30"/>
      <c r="B106" s="159" t="s">
        <v>125</v>
      </c>
      <c r="C106" s="63"/>
      <c r="D106" s="64"/>
      <c r="E106" s="159"/>
      <c r="F106" s="160"/>
      <c r="G106" s="33"/>
      <c r="H106" s="160"/>
    </row>
    <row r="107" spans="1:8" x14ac:dyDescent="0.3">
      <c r="A107" s="9">
        <v>38</v>
      </c>
      <c r="B107" s="10" t="s">
        <v>126</v>
      </c>
      <c r="C107" s="65">
        <v>40.75</v>
      </c>
      <c r="D107" s="66">
        <v>70</v>
      </c>
      <c r="E107" s="11">
        <v>35</v>
      </c>
      <c r="F107" s="45">
        <f>1.73*37*265/1000</f>
        <v>16.96265</v>
      </c>
      <c r="G107" s="12">
        <f>142527/720000</f>
        <v>0.19795416666666665</v>
      </c>
      <c r="H107" s="45">
        <f t="shared" si="1"/>
        <v>16.764695833333334</v>
      </c>
    </row>
    <row r="108" spans="1:8" x14ac:dyDescent="0.3">
      <c r="A108" s="19">
        <v>39</v>
      </c>
      <c r="B108" s="20" t="s">
        <v>127</v>
      </c>
      <c r="C108" s="61">
        <v>38.14</v>
      </c>
      <c r="D108" s="62">
        <v>120</v>
      </c>
      <c r="E108" s="21">
        <v>35</v>
      </c>
      <c r="F108" s="52">
        <f>1.73*37*380/1000</f>
        <v>24.323800000000002</v>
      </c>
      <c r="G108" s="23">
        <f>118930/720000</f>
        <v>0.16518055555555555</v>
      </c>
      <c r="H108" s="52">
        <f t="shared" si="1"/>
        <v>24.158619444444447</v>
      </c>
    </row>
  </sheetData>
  <mergeCells count="5">
    <mergeCell ref="A1:H1"/>
    <mergeCell ref="A2:H2"/>
    <mergeCell ref="A4:H4"/>
    <mergeCell ref="A6:H6"/>
    <mergeCell ref="A52:H52"/>
  </mergeCell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ЖЭУ  за ноябрь 2023г.</vt:lpstr>
      <vt:lpstr>БЭУ за ноябрь 2023г.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Rejim</dc:creator>
  <cp:lastModifiedBy>Rejim</cp:lastModifiedBy>
  <dcterms:created xsi:type="dcterms:W3CDTF">2022-09-13T10:28:24Z</dcterms:created>
  <dcterms:modified xsi:type="dcterms:W3CDTF">2023-12-12T10:33:55Z</dcterms:modified>
</cp:coreProperties>
</file>