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 activeTab="1"/>
  </bookViews>
  <sheets>
    <sheet name="ЖЭУ  за май 2024г." sheetId="3" r:id="rId1"/>
    <sheet name="БЭУ за май 2024г." sheetId="2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23" l="1"/>
  <c r="F108" i="23"/>
  <c r="H108" i="23" s="1"/>
  <c r="H107" i="23"/>
  <c r="G107" i="23"/>
  <c r="F107" i="23"/>
  <c r="G105" i="23"/>
  <c r="H105" i="23" s="1"/>
  <c r="F105" i="23"/>
  <c r="G104" i="23"/>
  <c r="F104" i="23"/>
  <c r="H104" i="23" s="1"/>
  <c r="G103" i="23"/>
  <c r="F103" i="23"/>
  <c r="H103" i="23" s="1"/>
  <c r="H101" i="23"/>
  <c r="G101" i="23"/>
  <c r="F101" i="23"/>
  <c r="G99" i="23"/>
  <c r="H99" i="23" s="1"/>
  <c r="F99" i="23"/>
  <c r="G97" i="23"/>
  <c r="F97" i="23"/>
  <c r="H97" i="23" s="1"/>
  <c r="G96" i="23"/>
  <c r="F96" i="23"/>
  <c r="H96" i="23" s="1"/>
  <c r="H94" i="23"/>
  <c r="G94" i="23"/>
  <c r="F94" i="23"/>
  <c r="G92" i="23"/>
  <c r="H92" i="23" s="1"/>
  <c r="F92" i="23"/>
  <c r="G90" i="23"/>
  <c r="F90" i="23"/>
  <c r="H89" i="23"/>
  <c r="G89" i="23"/>
  <c r="F89" i="23"/>
  <c r="G87" i="23"/>
  <c r="H87" i="23" s="1"/>
  <c r="F87" i="23"/>
  <c r="G86" i="23"/>
  <c r="F86" i="23"/>
  <c r="H86" i="23" s="1"/>
  <c r="G85" i="23"/>
  <c r="F85" i="23"/>
  <c r="H85" i="23" s="1"/>
  <c r="F83" i="23"/>
  <c r="F81" i="23"/>
  <c r="G79" i="23"/>
  <c r="F79" i="23"/>
  <c r="H79" i="23" s="1"/>
  <c r="F78" i="23"/>
  <c r="G77" i="23"/>
  <c r="F77" i="23"/>
  <c r="H76" i="23"/>
  <c r="G76" i="23"/>
  <c r="F76" i="23"/>
  <c r="G75" i="23"/>
  <c r="H75" i="23" s="1"/>
  <c r="F75" i="23"/>
  <c r="G73" i="23"/>
  <c r="F73" i="23"/>
  <c r="H73" i="23" s="1"/>
  <c r="G72" i="23"/>
  <c r="F72" i="23"/>
  <c r="H72" i="23" s="1"/>
  <c r="H70" i="23"/>
  <c r="G70" i="23"/>
  <c r="F70" i="23"/>
  <c r="F69" i="23"/>
  <c r="H68" i="23"/>
  <c r="G68" i="23"/>
  <c r="F68" i="23"/>
  <c r="G66" i="23"/>
  <c r="H66" i="23" s="1"/>
  <c r="F66" i="23"/>
  <c r="F65" i="23"/>
  <c r="G64" i="23"/>
  <c r="H64" i="23" s="1"/>
  <c r="F64" i="23"/>
  <c r="G63" i="23"/>
  <c r="F63" i="23"/>
  <c r="H63" i="23" s="1"/>
  <c r="G62" i="23"/>
  <c r="F62" i="23"/>
  <c r="H62" i="23" s="1"/>
  <c r="H61" i="23"/>
  <c r="G61" i="23"/>
  <c r="F61" i="23"/>
  <c r="G60" i="23"/>
  <c r="H60" i="23" s="1"/>
  <c r="F60" i="23"/>
  <c r="G59" i="23"/>
  <c r="F59" i="23"/>
  <c r="H59" i="23" s="1"/>
  <c r="G58" i="23"/>
  <c r="F58" i="23"/>
  <c r="H58" i="23" s="1"/>
  <c r="H57" i="23"/>
  <c r="G57" i="23"/>
  <c r="F57" i="23"/>
  <c r="G56" i="23"/>
  <c r="H56" i="23" s="1"/>
  <c r="F56" i="23"/>
  <c r="G49" i="23"/>
  <c r="H49" i="23" s="1"/>
  <c r="H47" i="23"/>
  <c r="G47" i="23"/>
  <c r="G46" i="23"/>
  <c r="G44" i="23"/>
  <c r="H44" i="23" s="1"/>
  <c r="G43" i="23"/>
  <c r="H43" i="23" s="1"/>
  <c r="G42" i="23"/>
  <c r="H42" i="23" s="1"/>
  <c r="G41" i="23"/>
  <c r="H41" i="23" s="1"/>
  <c r="G39" i="23"/>
  <c r="H39" i="23" s="1"/>
  <c r="G38" i="23"/>
  <c r="G37" i="23"/>
  <c r="H37" i="23" s="1"/>
  <c r="H34" i="23"/>
  <c r="G34" i="23"/>
  <c r="G33" i="23"/>
  <c r="H33" i="23" s="1"/>
  <c r="H30" i="23"/>
  <c r="G30" i="23"/>
  <c r="G29" i="23"/>
  <c r="H29" i="23" s="1"/>
  <c r="H28" i="23"/>
  <c r="G28" i="23"/>
  <c r="G27" i="23"/>
  <c r="G26" i="23"/>
  <c r="H26" i="23" s="1"/>
  <c r="G25" i="23"/>
  <c r="H25" i="23" s="1"/>
  <c r="G23" i="23"/>
  <c r="H23" i="23" s="1"/>
  <c r="G22" i="23"/>
  <c r="H22" i="23" s="1"/>
  <c r="G21" i="23"/>
  <c r="H21" i="23" s="1"/>
  <c r="G20" i="23"/>
  <c r="H20" i="23" s="1"/>
  <c r="G19" i="23"/>
  <c r="H19" i="23" s="1"/>
  <c r="G17" i="23"/>
  <c r="G16" i="23"/>
  <c r="H16" i="23" s="1"/>
  <c r="H15" i="23"/>
  <c r="G15" i="23"/>
  <c r="G14" i="23"/>
  <c r="H14" i="23" s="1"/>
  <c r="H13" i="23"/>
  <c r="G13" i="23"/>
  <c r="G12" i="23"/>
  <c r="H12" i="23" s="1"/>
  <c r="H11" i="23"/>
  <c r="G11" i="23"/>
  <c r="G51" i="3" l="1"/>
  <c r="G50" i="3"/>
  <c r="G53" i="3"/>
  <c r="G52" i="3"/>
  <c r="G49" i="3"/>
  <c r="G47" i="3"/>
  <c r="G46" i="3"/>
  <c r="G45" i="3"/>
  <c r="G85" i="3"/>
  <c r="G84" i="3"/>
  <c r="G39" i="3"/>
  <c r="G38" i="3"/>
  <c r="G82" i="3"/>
  <c r="G81" i="3"/>
  <c r="G80" i="3"/>
  <c r="G37" i="3"/>
  <c r="G36" i="3"/>
  <c r="G78" i="3"/>
  <c r="G77" i="3"/>
  <c r="G76" i="3"/>
  <c r="G75" i="3"/>
  <c r="G74" i="3"/>
  <c r="G73" i="3"/>
  <c r="G72" i="3"/>
  <c r="G71" i="3"/>
  <c r="G35" i="3"/>
  <c r="G34" i="3"/>
  <c r="G43" i="3"/>
  <c r="G87" i="3"/>
  <c r="G30" i="3"/>
  <c r="G28" i="3"/>
  <c r="G90" i="3"/>
  <c r="G26" i="3"/>
  <c r="G107" i="3"/>
  <c r="G106" i="3"/>
  <c r="G105" i="3"/>
  <c r="G104" i="3"/>
  <c r="G24" i="3"/>
  <c r="G100" i="3" l="1"/>
  <c r="G99" i="3"/>
  <c r="G98" i="3"/>
  <c r="G22" i="3"/>
  <c r="G94" i="3"/>
  <c r="G93" i="3"/>
  <c r="G92" i="3"/>
  <c r="G21" i="3" l="1"/>
  <c r="G20" i="3"/>
  <c r="G69" i="3"/>
  <c r="G68" i="3"/>
  <c r="G19" i="3"/>
  <c r="G18" i="3"/>
  <c r="G17" i="3"/>
  <c r="G16" i="3"/>
  <c r="G96" i="3"/>
  <c r="G15" i="3"/>
  <c r="G66" i="3"/>
  <c r="G65" i="3"/>
  <c r="G13" i="3"/>
  <c r="G12" i="3"/>
  <c r="H64" i="3" l="1"/>
  <c r="G102" i="3" l="1"/>
  <c r="H51" i="3" l="1"/>
  <c r="G59" i="3" l="1"/>
  <c r="H35" i="3" l="1"/>
  <c r="G48" i="3" l="1"/>
  <c r="N47" i="3" l="1"/>
  <c r="N46" i="3"/>
  <c r="H34" i="3" l="1"/>
  <c r="G23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  <comment ref="G6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<sst xmlns="http://schemas.openxmlformats.org/spreadsheetml/2006/main" count="498" uniqueCount="312">
  <si>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</si>
  <si>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</si>
  <si>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</si>
  <si>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</si>
  <si>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</si>
  <si>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</si>
  <si>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</si>
  <si>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</si>
  <si>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</si>
  <si>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</si>
  <si>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</si>
  <si>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</si>
  <si>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</si>
  <si>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</si>
  <si>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</si>
  <si>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</si>
  <si>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</si>
  <si>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</si>
  <si>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</si>
  <si>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</si>
  <si>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</si>
  <si>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</si>
  <si>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</si>
  <si>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</si>
  <si>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</si>
  <si>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</si>
  <si>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</si>
  <si>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</si>
  <si>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</si>
  <si>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</si>
  <si>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</si>
  <si>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</si>
  <si>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</si>
  <si>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</si>
  <si>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</si>
  <si>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</si>
  <si>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</si>
  <si>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</si>
  <si>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</si>
  <si>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</si>
  <si>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</si>
  <si>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</si>
  <si>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</si>
  <si>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</si>
  <si>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</si>
  <si>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</si>
  <si>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</si>
  <si>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</si>
  <si>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</si>
  <si>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</si>
  <si>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</si>
  <si>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</si>
  <si>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</si>
  <si>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</si>
  <si>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</si>
  <si>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</si>
  <si>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</si>
  <si>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</si>
  <si>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</si>
  <si>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</si>
  <si>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</si>
  <si>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</si>
  <si>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</si>
  <si>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</si>
  <si>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</si>
  <si>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</si>
  <si>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</si>
  <si>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</si>
  <si>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</si>
  <si>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</si>
  <si>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</si>
  <si>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</si>
  <si>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</si>
  <si>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</si>
  <si>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</si>
  <si>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</si>
  <si>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</si>
  <si>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</si>
  <si>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</si>
  <si>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</si>
  <si>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</si>
  <si>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</si>
  <si>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</si>
  <si>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</si>
  <si>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</si>
  <si>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</si>
  <si>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</si>
  <si>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</si>
  <si>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</si>
  <si>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</si>
  <si>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</si>
  <si>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</si>
  <si>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</si>
  <si>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</si>
  <si>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</si>
  <si>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</si>
  <si>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</si>
  <si>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</si>
  <si>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</si>
  <si>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</si>
  <si>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</si>
  <si>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</si>
  <si>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</si>
  <si>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</si>
  <si>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</si>
  <si>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</si>
  <si>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</si>
  <si>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</si>
  <si>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</si>
  <si>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</si>
  <si>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</si>
  <si>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</si>
  <si>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</si>
  <si>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</si>
  <si>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</si>
  <si>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</si>
  <si>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</si>
  <si>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</si>
  <si>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</si>
  <si>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</si>
  <si>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</si>
  <si>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</si>
  <si>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</si>
  <si>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</si>
  <si>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</si>
  <si>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</si>
  <si>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</si>
  <si>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</si>
  <si>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</si>
  <si>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</si>
  <si>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</si>
  <si>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</si>
  <si>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</si>
  <si>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</si>
  <si>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</si>
  <si>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</si>
  <si>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</si>
  <si>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</si>
  <si>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</si>
  <si>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</si>
  <si>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</si>
  <si>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</si>
  <si>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</si>
  <si>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</si>
  <si>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</si>
  <si>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</si>
  <si>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</si>
  <si>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</si>
  <si>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</si>
  <si>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</si>
  <si>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</si>
  <si>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</si>
  <si>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</si>
  <si>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</si>
  <si>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</si>
  <si>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</si>
  <si>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</si>
  <si>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</si>
  <si>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</si>
  <si>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</si>
  <si>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</si>
  <si>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</si>
  <si>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</si>
  <si>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</si>
  <si>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</si>
  <si>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</si>
  <si>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</si>
  <si>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</si>
  <si>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</si>
  <si>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</si>
  <si>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</si>
  <si>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</si>
  <si>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</si>
  <si>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</si>
  <si>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</si>
  <si>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</si>
  <si>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</si>
  <si>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</si>
  <si>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</si>
  <si>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</si>
  <si>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</si>
  <si>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</si>
  <si>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</si>
  <si>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</si>
  <si>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</si>
  <si>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</si>
  <si>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</si>
  <si>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</si>
  <si>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</si>
  <si>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</si>
  <si>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</si>
  <si>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</si>
  <si>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</si>
  <si>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</si>
  <si>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</si>
  <si>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</si>
  <si>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</si>
  <si>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</si>
  <si>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</si>
  <si>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</si>
  <si>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</si>
  <si>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</si>
  <si>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</si>
  <si>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</si>
  <si>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</si>
  <si>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</si>
  <si>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</si>
  <si>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</si>
  <si>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</si>
  <si>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</si>
  <si>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</si>
  <si>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</si>
  <si>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</si>
  <si>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</si>
  <si>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</si>
  <si>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</si>
  <si>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</si>
  <si>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</si>
  <si>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</si>
  <si>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</si>
  <si>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</si>
  <si>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</si>
  <si>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</si>
  <si>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</si>
  <si>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</si>
  <si>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</si>
  <si>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</si>
  <si>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</si>
  <si>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</si>
  <si>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</si>
  <si>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</si>
  <si>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</si>
  <si>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</si>
  <si>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</si>
  <si>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</si>
  <si>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</si>
  <si>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</si>
  <si>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</si>
  <si>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</si>
  <si>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</si>
  <si>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</si>
  <si>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</si>
  <si>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</si>
  <si>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</si>
  <si>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</si>
  <si>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</si>
  <si>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</si>
  <si>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</si>
  <si>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</si>
  <si>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</si>
  <si>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</si>
  <si>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</si>
  <si>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</si>
  <si>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</si>
  <si>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</si>
  <si>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</si>
  <si>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</si>
  <si>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</si>
  <si>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</si>
  <si>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</si>
  <si>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</si>
  <si>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</si>
  <si>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</si>
  <si>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</si>
  <si>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</si>
  <si>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</si>
  <si>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</si>
  <si>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</si>
  <si>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</si>
  <si>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</si>
  <si>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</si>
  <si>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</si>
  <si>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</si>
  <si>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</si>
  <si>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</si>
  <si>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</si>
  <si>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</si>
  <si>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</si>
  <si>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</si>
  <si>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</si>
  <si>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</si>
  <si>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</si>
  <si>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</si>
  <si>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</si>
  <si>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</si>
  <si>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</si>
  <si>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</si>
  <si>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</si>
  <si>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</si>
  <si>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</si>
  <si>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</si>
  <si>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</si>
  <si>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</si>
  <si>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</si>
  <si>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</si>
  <si>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</si>
  <si>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</si>
  <si>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</si>
  <si>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</si>
  <si>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</si>
  <si>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</si>
  <si>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</si>
  <si>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</si>
  <si>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</si>
  <si>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</si>
  <si>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</si>
  <si>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</si>
  <si>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</si>
  <si>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</si>
  <si>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</si>
  <si>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за май 2024г.</t>
  </si>
  <si>
    <t>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</si>
</sst>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21" fillId="2" borderId="0" xfId="3" applyFont="1" applyFill="1" applyBorder="1"/>
    <xf numFmtId="169" fontId="4" fillId="2" borderId="24" xfId="3" applyNumberFormat="1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opLeftCell="A5" zoomScale="85" zoomScaleNormal="85" zoomScaleSheetLayoutView="135" workbookViewId="0">
      <selection activeCell="O19" sqref="O19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1.218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1.77734375" style="76" customWidth="1"/>
    <col min="10" max="13" width="9.21875" style="76" hidden="1" customWidth="1"/>
    <col min="14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5"/>
      <c r="G1" s="169"/>
      <c r="H1" s="64" t="s">
        <v>126</v>
      </c>
      <c r="I1" s="75"/>
      <c r="R1" s="77" t="s">
        <v>127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128</v>
      </c>
      <c r="S2" s="78"/>
      <c r="T2" s="78"/>
    </row>
    <row r="3" spans="1:20" ht="18" x14ac:dyDescent="0.35">
      <c r="B3" s="64"/>
      <c r="C3" s="64"/>
      <c r="D3" s="64"/>
      <c r="E3" s="64"/>
      <c r="F3" s="155"/>
      <c r="G3" s="169"/>
      <c r="H3" s="64" t="s">
        <v>2</v>
      </c>
      <c r="I3" s="82"/>
      <c r="R3" s="77" t="s">
        <v>129</v>
      </c>
      <c r="S3" s="78"/>
      <c r="T3" s="78"/>
    </row>
    <row r="4" spans="1:20" ht="18" x14ac:dyDescent="0.35">
      <c r="A4" s="83"/>
      <c r="B4" s="83"/>
      <c r="C4" s="84"/>
      <c r="D4" s="84" t="s">
        <v>130</v>
      </c>
      <c r="E4" s="85"/>
      <c r="F4" s="83"/>
      <c r="G4" s="66"/>
      <c r="H4" s="66" t="s">
        <v>131</v>
      </c>
      <c r="I4" s="82"/>
      <c r="R4" s="77" t="s">
        <v>132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73" t="s">
        <v>310</v>
      </c>
      <c r="H5" s="173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133</v>
      </c>
      <c r="E6" s="90" t="s">
        <v>134</v>
      </c>
      <c r="F6" s="89" t="s">
        <v>135</v>
      </c>
      <c r="G6" s="174" t="s">
        <v>136</v>
      </c>
      <c r="H6" s="90" t="s">
        <v>137</v>
      </c>
      <c r="R6" s="77" t="s">
        <v>138</v>
      </c>
      <c r="S6" s="78"/>
      <c r="T6" s="78"/>
    </row>
    <row r="7" spans="1:20" x14ac:dyDescent="0.3">
      <c r="A7" s="91" t="s">
        <v>139</v>
      </c>
      <c r="B7" s="92" t="s">
        <v>140</v>
      </c>
      <c r="C7" s="92" t="s">
        <v>6</v>
      </c>
      <c r="D7" s="92" t="s">
        <v>141</v>
      </c>
      <c r="E7" s="93" t="s">
        <v>142</v>
      </c>
      <c r="F7" s="92" t="s">
        <v>143</v>
      </c>
      <c r="G7" s="175"/>
      <c r="H7" s="93" t="s">
        <v>144</v>
      </c>
    </row>
    <row r="8" spans="1:20" ht="16.2" thickBot="1" x14ac:dyDescent="0.35">
      <c r="A8" s="94"/>
      <c r="B8" s="95"/>
      <c r="C8" s="95"/>
      <c r="D8" s="95"/>
      <c r="E8" s="67" t="s">
        <v>145</v>
      </c>
      <c r="F8" s="96" t="s">
        <v>146</v>
      </c>
      <c r="G8" s="67" t="s">
        <v>147</v>
      </c>
      <c r="H8" s="67" t="s">
        <v>147</v>
      </c>
    </row>
    <row r="9" spans="1:20" x14ac:dyDescent="0.3">
      <c r="A9" s="97"/>
      <c r="B9" s="98" t="s">
        <v>299</v>
      </c>
      <c r="C9" s="98"/>
      <c r="D9" s="98"/>
      <c r="E9" s="99"/>
      <c r="F9" s="98"/>
      <c r="G9" s="164"/>
      <c r="H9" s="100">
        <v>744</v>
      </c>
    </row>
    <row r="10" spans="1:20" x14ac:dyDescent="0.3">
      <c r="A10" s="101" t="s">
        <v>148</v>
      </c>
      <c r="B10" s="102" t="s">
        <v>149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150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151</v>
      </c>
      <c r="B12" s="104" t="s">
        <v>152</v>
      </c>
      <c r="C12" s="107" t="s">
        <v>153</v>
      </c>
      <c r="D12" s="107"/>
      <c r="E12" s="68" t="s">
        <v>154</v>
      </c>
      <c r="F12" s="68">
        <v>63000</v>
      </c>
      <c r="G12" s="165">
        <f>(7706820+149790)/H9/1000</f>
        <v>10.559959677419354</v>
      </c>
      <c r="H12" s="108">
        <f>F12/1000-G12</f>
        <v>52.440040322580643</v>
      </c>
      <c r="I12" s="109"/>
      <c r="N12" s="110"/>
    </row>
    <row r="13" spans="1:20" x14ac:dyDescent="0.3">
      <c r="A13" s="69"/>
      <c r="B13" s="104"/>
      <c r="C13" s="107" t="s">
        <v>155</v>
      </c>
      <c r="D13" s="107"/>
      <c r="E13" s="68" t="s">
        <v>156</v>
      </c>
      <c r="F13" s="68">
        <v>63000</v>
      </c>
      <c r="G13" s="165">
        <f>(8307948+66120)/H9/1000</f>
        <v>11.255467741935483</v>
      </c>
      <c r="H13" s="108">
        <f>F13/1000-G13</f>
        <v>51.744532258064517</v>
      </c>
      <c r="I13" s="109"/>
      <c r="N13" s="110"/>
    </row>
    <row r="14" spans="1:20" x14ac:dyDescent="0.3">
      <c r="A14" s="69"/>
      <c r="B14" s="106" t="s">
        <v>157</v>
      </c>
      <c r="C14" s="106"/>
      <c r="D14" s="106"/>
      <c r="E14" s="68"/>
      <c r="F14" s="68"/>
      <c r="G14" s="165"/>
      <c r="H14" s="108"/>
      <c r="I14" s="109"/>
      <c r="N14" s="110"/>
    </row>
    <row r="15" spans="1:20" x14ac:dyDescent="0.3">
      <c r="A15" s="69" t="s">
        <v>158</v>
      </c>
      <c r="B15" s="104" t="s">
        <v>159</v>
      </c>
      <c r="C15" s="104"/>
      <c r="D15" s="104"/>
      <c r="E15" s="68" t="s">
        <v>160</v>
      </c>
      <c r="F15" s="68">
        <v>6300</v>
      </c>
      <c r="G15" s="165">
        <f>338712/H9/1000</f>
        <v>0.45525806451612905</v>
      </c>
      <c r="H15" s="108">
        <f t="shared" ref="H15:H21" si="0">F15/1000-G15</f>
        <v>5.8447419354838708</v>
      </c>
      <c r="I15" s="109"/>
      <c r="N15" s="110"/>
    </row>
    <row r="16" spans="1:20" x14ac:dyDescent="0.3">
      <c r="A16" s="69" t="s">
        <v>161</v>
      </c>
      <c r="B16" s="104" t="s">
        <v>162</v>
      </c>
      <c r="C16" s="104" t="s">
        <v>163</v>
      </c>
      <c r="D16" s="104"/>
      <c r="E16" s="111">
        <v>11.1</v>
      </c>
      <c r="F16" s="68">
        <v>16000</v>
      </c>
      <c r="G16" s="165">
        <f>328841/H9/1000</f>
        <v>0.44199059139784946</v>
      </c>
      <c r="H16" s="108">
        <f t="shared" si="0"/>
        <v>15.55800940860215</v>
      </c>
      <c r="I16" s="109"/>
      <c r="N16" s="110"/>
    </row>
    <row r="17" spans="1:14" x14ac:dyDescent="0.3">
      <c r="A17" s="69"/>
      <c r="B17" s="104"/>
      <c r="C17" s="104" t="s">
        <v>164</v>
      </c>
      <c r="D17" s="104"/>
      <c r="E17" s="111">
        <v>11.1</v>
      </c>
      <c r="F17" s="68">
        <v>16000</v>
      </c>
      <c r="G17" s="165">
        <f>87058/H9/1000</f>
        <v>0.11701344086021506</v>
      </c>
      <c r="H17" s="108">
        <f t="shared" si="0"/>
        <v>15.882986559139784</v>
      </c>
      <c r="I17" s="109"/>
      <c r="N17" s="110"/>
    </row>
    <row r="18" spans="1:14" x14ac:dyDescent="0.3">
      <c r="A18" s="69" t="s">
        <v>165</v>
      </c>
      <c r="B18" s="104" t="s">
        <v>166</v>
      </c>
      <c r="C18" s="104" t="s">
        <v>163</v>
      </c>
      <c r="D18" s="104"/>
      <c r="E18" s="68" t="s">
        <v>167</v>
      </c>
      <c r="F18" s="68">
        <v>16000</v>
      </c>
      <c r="G18" s="165">
        <f>227988/H9/1000</f>
        <v>0.30643548387096775</v>
      </c>
      <c r="H18" s="108">
        <f t="shared" si="0"/>
        <v>15.693564516129033</v>
      </c>
      <c r="I18" s="109"/>
      <c r="N18" s="110"/>
    </row>
    <row r="19" spans="1:14" x14ac:dyDescent="0.3">
      <c r="A19" s="69"/>
      <c r="B19" s="104"/>
      <c r="C19" s="104" t="s">
        <v>164</v>
      </c>
      <c r="D19" s="104"/>
      <c r="E19" s="68" t="s">
        <v>168</v>
      </c>
      <c r="F19" s="68">
        <v>16000</v>
      </c>
      <c r="G19" s="165">
        <f>494856/H9/1000</f>
        <v>0.66512903225806452</v>
      </c>
      <c r="H19" s="108">
        <f t="shared" si="0"/>
        <v>15.334870967741935</v>
      </c>
      <c r="I19" s="109"/>
      <c r="N19" s="110"/>
    </row>
    <row r="20" spans="1:14" x14ac:dyDescent="0.3">
      <c r="A20" s="69" t="s">
        <v>169</v>
      </c>
      <c r="B20" s="104" t="s">
        <v>170</v>
      </c>
      <c r="C20" s="104" t="s">
        <v>163</v>
      </c>
      <c r="D20" s="104"/>
      <c r="E20" s="68" t="s">
        <v>171</v>
      </c>
      <c r="F20" s="68">
        <v>40000</v>
      </c>
      <c r="G20" s="165">
        <f>1488080/H9/1000</f>
        <v>2.0001075268817203</v>
      </c>
      <c r="H20" s="108">
        <f t="shared" si="0"/>
        <v>37.99989247311828</v>
      </c>
      <c r="I20" s="109"/>
      <c r="N20" s="110"/>
    </row>
    <row r="21" spans="1:14" x14ac:dyDescent="0.3">
      <c r="A21" s="69"/>
      <c r="B21" s="104"/>
      <c r="C21" s="104" t="s">
        <v>164</v>
      </c>
      <c r="D21" s="104"/>
      <c r="E21" s="68" t="s">
        <v>172</v>
      </c>
      <c r="F21" s="68">
        <v>40000</v>
      </c>
      <c r="G21" s="165">
        <f>611988/H9/1000</f>
        <v>0.82256451612903236</v>
      </c>
      <c r="H21" s="108">
        <f t="shared" si="0"/>
        <v>39.177435483870966</v>
      </c>
      <c r="I21" s="109"/>
      <c r="N21" s="110"/>
    </row>
    <row r="22" spans="1:14" x14ac:dyDescent="0.3">
      <c r="A22" s="69" t="s">
        <v>176</v>
      </c>
      <c r="B22" s="104" t="s">
        <v>177</v>
      </c>
      <c r="C22" s="104"/>
      <c r="D22" s="104"/>
      <c r="E22" s="68" t="s">
        <v>178</v>
      </c>
      <c r="F22" s="68">
        <v>10000</v>
      </c>
      <c r="G22" s="165">
        <f>(1052612+0)/H9/1000</f>
        <v>1.4148010752688172</v>
      </c>
      <c r="H22" s="108">
        <f>F22/1000-G22</f>
        <v>8.5851989247311824</v>
      </c>
      <c r="I22" s="109"/>
      <c r="N22" s="110"/>
    </row>
    <row r="23" spans="1:14" x14ac:dyDescent="0.3">
      <c r="A23" s="69"/>
      <c r="B23" s="104"/>
      <c r="C23" s="104"/>
      <c r="D23" s="104"/>
      <c r="E23" s="68" t="s">
        <v>174</v>
      </c>
      <c r="F23" s="68">
        <v>2500</v>
      </c>
      <c r="G23" s="165">
        <f>(0+0)/H9/1000</f>
        <v>0</v>
      </c>
      <c r="H23" s="108">
        <f>F23/1000-G23</f>
        <v>2.5</v>
      </c>
      <c r="I23" s="109"/>
      <c r="N23" s="110"/>
    </row>
    <row r="24" spans="1:14" x14ac:dyDescent="0.3">
      <c r="A24" s="69" t="s">
        <v>179</v>
      </c>
      <c r="B24" s="104" t="s">
        <v>180</v>
      </c>
      <c r="C24" s="104" t="s">
        <v>181</v>
      </c>
      <c r="D24" s="104"/>
      <c r="E24" s="68" t="s">
        <v>182</v>
      </c>
      <c r="F24" s="68">
        <v>6300</v>
      </c>
      <c r="G24" s="165">
        <f>(509740)/H9/1000</f>
        <v>0.68513440860215058</v>
      </c>
      <c r="H24" s="108">
        <f>F24/1000-G24</f>
        <v>5.6148655913978489</v>
      </c>
      <c r="I24" s="109"/>
      <c r="N24" s="110"/>
    </row>
    <row r="25" spans="1:14" x14ac:dyDescent="0.3">
      <c r="A25" s="69"/>
      <c r="B25" s="106" t="s">
        <v>183</v>
      </c>
      <c r="C25" s="106"/>
      <c r="D25" s="106"/>
      <c r="E25" s="68"/>
      <c r="F25" s="68"/>
      <c r="G25" s="165"/>
      <c r="H25" s="108"/>
      <c r="I25" s="109"/>
      <c r="N25" s="110"/>
    </row>
    <row r="26" spans="1:14" x14ac:dyDescent="0.3">
      <c r="A26" s="69" t="s">
        <v>184</v>
      </c>
      <c r="B26" s="104" t="s">
        <v>185</v>
      </c>
      <c r="C26" s="104" t="s">
        <v>163</v>
      </c>
      <c r="D26" s="104"/>
      <c r="E26" s="111" t="s">
        <v>186</v>
      </c>
      <c r="F26" s="68">
        <v>1000</v>
      </c>
      <c r="G26" s="165">
        <f>90426/H9/1000</f>
        <v>0.12154032258064516</v>
      </c>
      <c r="H26" s="108">
        <f>F26/1000-G26</f>
        <v>0.87845967741935482</v>
      </c>
      <c r="I26" s="109"/>
      <c r="N26" s="110"/>
    </row>
    <row r="27" spans="1:14" x14ac:dyDescent="0.3">
      <c r="A27" s="69"/>
      <c r="B27" s="104"/>
      <c r="C27" s="104" t="s">
        <v>164</v>
      </c>
      <c r="D27" s="104"/>
      <c r="E27" s="68" t="s">
        <v>174</v>
      </c>
      <c r="F27" s="68">
        <v>6300</v>
      </c>
      <c r="G27" s="165" t="s">
        <v>175</v>
      </c>
      <c r="H27" s="108"/>
      <c r="I27" s="109"/>
      <c r="N27" s="110"/>
    </row>
    <row r="28" spans="1:14" x14ac:dyDescent="0.3">
      <c r="A28" s="69" t="s">
        <v>187</v>
      </c>
      <c r="B28" s="104" t="s">
        <v>188</v>
      </c>
      <c r="C28" s="104" t="s">
        <v>189</v>
      </c>
      <c r="D28" s="104"/>
      <c r="E28" s="111">
        <v>11.1</v>
      </c>
      <c r="F28" s="68">
        <v>1000</v>
      </c>
      <c r="G28" s="165">
        <f>22258/H9/1000</f>
        <v>2.9916666666666668E-2</v>
      </c>
      <c r="H28" s="108">
        <f>F28/1000-G28</f>
        <v>0.9700833333333333</v>
      </c>
      <c r="I28" s="109"/>
      <c r="N28" s="110"/>
    </row>
    <row r="29" spans="1:14" x14ac:dyDescent="0.3">
      <c r="A29" s="69" t="s">
        <v>190</v>
      </c>
      <c r="B29" s="104" t="s">
        <v>191</v>
      </c>
      <c r="C29" s="104"/>
      <c r="D29" s="104"/>
      <c r="E29" s="111">
        <v>11.1</v>
      </c>
      <c r="F29" s="68">
        <v>1000</v>
      </c>
      <c r="G29" s="165">
        <v>0</v>
      </c>
      <c r="H29" s="108">
        <f>F29/1000-G29</f>
        <v>1</v>
      </c>
      <c r="I29" s="109"/>
      <c r="N29" s="110"/>
    </row>
    <row r="30" spans="1:14" x14ac:dyDescent="0.3">
      <c r="A30" s="69" t="s">
        <v>194</v>
      </c>
      <c r="B30" s="104" t="s">
        <v>303</v>
      </c>
      <c r="C30" s="104" t="s">
        <v>163</v>
      </c>
      <c r="D30" s="104"/>
      <c r="E30" s="68" t="s">
        <v>304</v>
      </c>
      <c r="F30" s="68">
        <v>6300</v>
      </c>
      <c r="G30" s="165">
        <f>37289/H9/1000</f>
        <v>5.0119623655913978E-2</v>
      </c>
      <c r="H30" s="108">
        <f>F30/1000-G30</f>
        <v>6.2498803763440858</v>
      </c>
      <c r="I30" s="109"/>
      <c r="N30" s="110"/>
    </row>
    <row r="31" spans="1:14" x14ac:dyDescent="0.3">
      <c r="A31" s="69"/>
      <c r="B31" s="104"/>
      <c r="C31" s="104" t="s">
        <v>164</v>
      </c>
      <c r="D31" s="104"/>
      <c r="E31" s="68" t="s">
        <v>174</v>
      </c>
      <c r="F31" s="68">
        <v>6300</v>
      </c>
      <c r="G31" s="165" t="s">
        <v>175</v>
      </c>
      <c r="H31" s="108"/>
      <c r="I31" s="109"/>
      <c r="N31" s="110"/>
    </row>
    <row r="32" spans="1:14" x14ac:dyDescent="0.3">
      <c r="A32" s="101" t="s">
        <v>192</v>
      </c>
      <c r="B32" s="102" t="s">
        <v>193</v>
      </c>
      <c r="C32" s="102"/>
      <c r="D32" s="102"/>
      <c r="E32" s="68"/>
      <c r="F32" s="68"/>
      <c r="G32" s="165"/>
      <c r="H32" s="108"/>
      <c r="I32" s="109"/>
      <c r="N32" s="110"/>
    </row>
    <row r="33" spans="1:14" x14ac:dyDescent="0.3">
      <c r="A33" s="101"/>
      <c r="B33" s="106" t="s">
        <v>150</v>
      </c>
      <c r="C33" s="106"/>
      <c r="D33" s="106"/>
      <c r="E33" s="68"/>
      <c r="F33" s="68"/>
      <c r="G33" s="165"/>
      <c r="H33" s="108"/>
      <c r="I33" s="109"/>
      <c r="N33" s="110"/>
    </row>
    <row r="34" spans="1:14" x14ac:dyDescent="0.3">
      <c r="A34" s="69" t="s">
        <v>198</v>
      </c>
      <c r="B34" s="104" t="s">
        <v>195</v>
      </c>
      <c r="C34" s="104" t="s">
        <v>163</v>
      </c>
      <c r="D34" s="104"/>
      <c r="E34" s="68" t="s">
        <v>196</v>
      </c>
      <c r="F34" s="68">
        <v>25000</v>
      </c>
      <c r="G34" s="165">
        <f>(7225020)/H9/1000</f>
        <v>9.7110483870967741</v>
      </c>
      <c r="H34" s="108">
        <f>F34/1000-G34</f>
        <v>15.288951612903226</v>
      </c>
      <c r="I34" s="109"/>
      <c r="N34" s="110"/>
    </row>
    <row r="35" spans="1:14" x14ac:dyDescent="0.3">
      <c r="A35" s="69"/>
      <c r="B35" s="68"/>
      <c r="C35" s="104" t="s">
        <v>164</v>
      </c>
      <c r="D35" s="104"/>
      <c r="E35" s="68" t="s">
        <v>197</v>
      </c>
      <c r="F35" s="68">
        <v>25000</v>
      </c>
      <c r="G35" s="165">
        <f>(14307480)/H9/1000</f>
        <v>19.230483870967742</v>
      </c>
      <c r="H35" s="108">
        <f>F35/1000-G35</f>
        <v>5.7695161290322581</v>
      </c>
      <c r="I35" s="109"/>
      <c r="N35" s="110"/>
    </row>
    <row r="36" spans="1:14" x14ac:dyDescent="0.3">
      <c r="A36" s="69" t="s">
        <v>202</v>
      </c>
      <c r="B36" s="104" t="s">
        <v>199</v>
      </c>
      <c r="C36" s="104" t="s">
        <v>163</v>
      </c>
      <c r="D36" s="104"/>
      <c r="E36" s="68" t="s">
        <v>200</v>
      </c>
      <c r="F36" s="68">
        <v>40000</v>
      </c>
      <c r="G36" s="165">
        <f>3138960/H9/1000</f>
        <v>4.2190322580645159</v>
      </c>
      <c r="H36" s="108">
        <f t="shared" ref="H36:H41" si="1">F36/1000-G36</f>
        <v>35.780967741935484</v>
      </c>
      <c r="I36" s="109"/>
      <c r="N36" s="110"/>
    </row>
    <row r="37" spans="1:14" x14ac:dyDescent="0.3">
      <c r="A37" s="69"/>
      <c r="B37" s="68"/>
      <c r="C37" s="104" t="s">
        <v>164</v>
      </c>
      <c r="D37" s="104"/>
      <c r="E37" s="68" t="s">
        <v>201</v>
      </c>
      <c r="F37" s="68">
        <v>40000</v>
      </c>
      <c r="G37" s="165">
        <f>2452560/H9/1000</f>
        <v>3.2964516129032257</v>
      </c>
      <c r="H37" s="108">
        <f t="shared" si="1"/>
        <v>36.703548387096774</v>
      </c>
      <c r="I37" s="109"/>
      <c r="N37" s="110"/>
    </row>
    <row r="38" spans="1:14" x14ac:dyDescent="0.3">
      <c r="A38" s="69" t="s">
        <v>212</v>
      </c>
      <c r="B38" s="104" t="s">
        <v>203</v>
      </c>
      <c r="C38" s="104" t="s">
        <v>163</v>
      </c>
      <c r="D38" s="104"/>
      <c r="E38" s="68" t="s">
        <v>204</v>
      </c>
      <c r="F38" s="68">
        <v>20000</v>
      </c>
      <c r="G38" s="165">
        <f>4271696/H9/1000</f>
        <v>5.7415268817204304</v>
      </c>
      <c r="H38" s="108">
        <f t="shared" si="1"/>
        <v>14.25847311827957</v>
      </c>
      <c r="I38" s="109"/>
      <c r="N38" s="110"/>
    </row>
    <row r="39" spans="1:14" x14ac:dyDescent="0.3">
      <c r="A39" s="69"/>
      <c r="B39" s="68"/>
      <c r="C39" s="104" t="s">
        <v>164</v>
      </c>
      <c r="D39" s="104"/>
      <c r="E39" s="68" t="s">
        <v>205</v>
      </c>
      <c r="F39" s="68">
        <v>20000</v>
      </c>
      <c r="G39" s="165">
        <f>3434288/H9/1000</f>
        <v>4.6159784946236559</v>
      </c>
      <c r="H39" s="108">
        <f t="shared" si="1"/>
        <v>15.384021505376344</v>
      </c>
      <c r="I39" s="109"/>
      <c r="N39" s="110"/>
    </row>
    <row r="40" spans="1:14" x14ac:dyDescent="0.3">
      <c r="A40" s="101"/>
      <c r="B40" s="104" t="s">
        <v>206</v>
      </c>
      <c r="C40" s="104" t="s">
        <v>207</v>
      </c>
      <c r="D40" s="104"/>
      <c r="E40" s="68" t="s">
        <v>208</v>
      </c>
      <c r="F40" s="68">
        <v>10000</v>
      </c>
      <c r="G40" s="165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206</v>
      </c>
      <c r="C41" s="104" t="s">
        <v>209</v>
      </c>
      <c r="D41" s="104"/>
      <c r="E41" s="68" t="s">
        <v>210</v>
      </c>
      <c r="F41" s="68">
        <v>10000</v>
      </c>
      <c r="G41" s="165">
        <f>21/H9/1000</f>
        <v>2.8225806451612902E-5</v>
      </c>
      <c r="H41" s="108">
        <f t="shared" si="1"/>
        <v>9.9999717741935488</v>
      </c>
      <c r="I41" s="109"/>
      <c r="N41" s="110"/>
    </row>
    <row r="42" spans="1:14" x14ac:dyDescent="0.3">
      <c r="A42" s="69"/>
      <c r="B42" s="106" t="s">
        <v>211</v>
      </c>
      <c r="C42" s="106"/>
      <c r="D42" s="106"/>
      <c r="E42" s="68"/>
      <c r="F42" s="68"/>
      <c r="G42" s="165"/>
      <c r="H42" s="108"/>
      <c r="I42" s="109"/>
      <c r="N42" s="110"/>
    </row>
    <row r="43" spans="1:14" x14ac:dyDescent="0.3">
      <c r="A43" s="69" t="s">
        <v>213</v>
      </c>
      <c r="B43" s="104" t="s">
        <v>307</v>
      </c>
      <c r="C43" s="104" t="s">
        <v>214</v>
      </c>
      <c r="D43" s="104"/>
      <c r="E43" s="68" t="s">
        <v>306</v>
      </c>
      <c r="F43" s="68">
        <v>6300</v>
      </c>
      <c r="G43" s="165">
        <f>198924/H9/1000</f>
        <v>0.26737096774193547</v>
      </c>
      <c r="H43" s="108">
        <f>F43/1000-G43</f>
        <v>6.0326290322580647</v>
      </c>
      <c r="I43" s="109"/>
      <c r="J43" s="76" t="s">
        <v>215</v>
      </c>
      <c r="L43" s="112"/>
      <c r="N43" s="110"/>
    </row>
    <row r="44" spans="1:14" x14ac:dyDescent="0.3">
      <c r="A44" s="69"/>
      <c r="B44" s="106" t="s">
        <v>183</v>
      </c>
      <c r="C44" s="106"/>
      <c r="D44" s="106"/>
      <c r="E44" s="68"/>
      <c r="F44" s="68"/>
      <c r="G44" s="165"/>
      <c r="H44" s="108"/>
      <c r="I44" s="109"/>
      <c r="N44" s="110"/>
    </row>
    <row r="45" spans="1:14" x14ac:dyDescent="0.3">
      <c r="A45" s="69" t="s">
        <v>216</v>
      </c>
      <c r="B45" s="104" t="s">
        <v>305</v>
      </c>
      <c r="C45" s="104"/>
      <c r="D45" s="104"/>
      <c r="E45" s="68" t="s">
        <v>308</v>
      </c>
      <c r="F45" s="68">
        <v>6300</v>
      </c>
      <c r="G45" s="165">
        <f>666264/H9/1000</f>
        <v>0.89551612903225808</v>
      </c>
      <c r="H45" s="108">
        <f>F45/1000-G45</f>
        <v>5.4044838709677414</v>
      </c>
      <c r="I45" s="109"/>
      <c r="N45" s="110"/>
    </row>
    <row r="46" spans="1:14" x14ac:dyDescent="0.3">
      <c r="A46" s="69" t="s">
        <v>219</v>
      </c>
      <c r="B46" s="104" t="s">
        <v>217</v>
      </c>
      <c r="C46" s="104"/>
      <c r="D46" s="104"/>
      <c r="E46" s="68" t="s">
        <v>218</v>
      </c>
      <c r="F46" s="68">
        <v>2500</v>
      </c>
      <c r="G46" s="165">
        <f>6350/H9/1000</f>
        <v>8.5349462365591402E-3</v>
      </c>
      <c r="H46" s="108">
        <f t="shared" ref="H46:H53" si="2">F46/1000-G46</f>
        <v>2.4914650537634411</v>
      </c>
      <c r="I46" s="109"/>
      <c r="N46" s="153" t="e">
        <f>96642/O24/1000</f>
        <v>#DIV/0!</v>
      </c>
    </row>
    <row r="47" spans="1:14" x14ac:dyDescent="0.3">
      <c r="A47" s="69" t="s">
        <v>222</v>
      </c>
      <c r="B47" s="104" t="s">
        <v>220</v>
      </c>
      <c r="C47" s="104"/>
      <c r="D47" s="104"/>
      <c r="E47" s="68" t="s">
        <v>221</v>
      </c>
      <c r="F47" s="68">
        <v>6300</v>
      </c>
      <c r="G47" s="165">
        <f>329162/H9/1000</f>
        <v>0.44242204301075272</v>
      </c>
      <c r="H47" s="108">
        <f t="shared" si="2"/>
        <v>5.857577956989247</v>
      </c>
      <c r="I47" s="109"/>
      <c r="N47" s="153" t="e">
        <f>1845795/O24/1000</f>
        <v>#DIV/0!</v>
      </c>
    </row>
    <row r="48" spans="1:14" x14ac:dyDescent="0.3">
      <c r="A48" s="69" t="s">
        <v>225</v>
      </c>
      <c r="B48" s="104" t="s">
        <v>223</v>
      </c>
      <c r="C48" s="104" t="s">
        <v>163</v>
      </c>
      <c r="D48" s="104"/>
      <c r="E48" s="68" t="s">
        <v>174</v>
      </c>
      <c r="F48" s="68">
        <v>2500</v>
      </c>
      <c r="G48" s="165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164</v>
      </c>
      <c r="D49" s="104"/>
      <c r="E49" s="68" t="s">
        <v>224</v>
      </c>
      <c r="F49" s="68">
        <v>2500</v>
      </c>
      <c r="G49" s="165">
        <f>404368/H9/1000</f>
        <v>0.54350537634408602</v>
      </c>
      <c r="H49" s="108">
        <f t="shared" si="2"/>
        <v>1.956494623655914</v>
      </c>
      <c r="I49" s="109"/>
      <c r="N49" s="110"/>
    </row>
    <row r="50" spans="1:14" x14ac:dyDescent="0.3">
      <c r="A50" s="69" t="s">
        <v>228</v>
      </c>
      <c r="B50" s="104" t="s">
        <v>226</v>
      </c>
      <c r="C50" s="104" t="s">
        <v>163</v>
      </c>
      <c r="D50" s="104"/>
      <c r="E50" s="68">
        <v>6.62</v>
      </c>
      <c r="F50" s="68">
        <v>1800</v>
      </c>
      <c r="G50" s="165">
        <f>1470/H9/1000</f>
        <v>1.9758064516129034E-3</v>
      </c>
      <c r="H50" s="108">
        <f t="shared" si="2"/>
        <v>1.7980241935483872</v>
      </c>
      <c r="I50" s="109"/>
      <c r="N50" s="110"/>
    </row>
    <row r="51" spans="1:14" x14ac:dyDescent="0.3">
      <c r="A51" s="113"/>
      <c r="B51" s="103" t="s">
        <v>227</v>
      </c>
      <c r="C51" s="104" t="s">
        <v>164</v>
      </c>
      <c r="D51" s="104"/>
      <c r="E51" s="68">
        <v>11.1</v>
      </c>
      <c r="F51" s="68">
        <v>1600</v>
      </c>
      <c r="G51" s="165">
        <f>1030764/H9/1000</f>
        <v>1.3854354838709677</v>
      </c>
      <c r="H51" s="108">
        <f>F51/1000-G51</f>
        <v>0.21456451612903238</v>
      </c>
      <c r="I51" s="109"/>
      <c r="N51" s="110"/>
    </row>
    <row r="52" spans="1:14" x14ac:dyDescent="0.3">
      <c r="A52" s="114" t="s">
        <v>230</v>
      </c>
      <c r="B52" s="103" t="s">
        <v>229</v>
      </c>
      <c r="C52" s="104"/>
      <c r="D52" s="104"/>
      <c r="E52" s="68">
        <v>0.4</v>
      </c>
      <c r="F52" s="68">
        <v>250</v>
      </c>
      <c r="G52" s="165">
        <f>(14149)/H9/1000</f>
        <v>1.9017473118279567E-2</v>
      </c>
      <c r="H52" s="108">
        <f t="shared" si="2"/>
        <v>0.23098252688172044</v>
      </c>
      <c r="I52" s="109"/>
      <c r="N52" s="110"/>
    </row>
    <row r="53" spans="1:14" x14ac:dyDescent="0.3">
      <c r="A53" s="69" t="s">
        <v>309</v>
      </c>
      <c r="B53" s="115" t="s">
        <v>298</v>
      </c>
      <c r="C53" s="116"/>
      <c r="D53" s="116"/>
      <c r="E53" s="117">
        <v>0.4</v>
      </c>
      <c r="F53" s="117">
        <v>630</v>
      </c>
      <c r="G53" s="168">
        <f>(7280)/H9/1000</f>
        <v>9.7849462365591396E-3</v>
      </c>
      <c r="H53" s="118">
        <f t="shared" si="2"/>
        <v>0.62021505376344088</v>
      </c>
      <c r="I53" s="109"/>
      <c r="N53" s="110"/>
    </row>
    <row r="54" spans="1:14" x14ac:dyDescent="0.3">
      <c r="A54" s="83"/>
      <c r="B54" s="119"/>
      <c r="C54" s="83"/>
      <c r="D54" s="83"/>
      <c r="E54" s="85"/>
      <c r="F54" s="85"/>
      <c r="G54" s="166"/>
      <c r="H54" s="120"/>
      <c r="I54" s="109"/>
      <c r="N54" s="110"/>
    </row>
    <row r="55" spans="1:14" x14ac:dyDescent="0.3">
      <c r="A55" s="83"/>
      <c r="B55" s="119"/>
      <c r="C55" s="83"/>
      <c r="D55" s="83"/>
      <c r="E55" s="85"/>
      <c r="F55" s="85"/>
      <c r="G55" s="166"/>
      <c r="H55" s="120"/>
      <c r="I55" s="109"/>
      <c r="N55" s="110"/>
    </row>
    <row r="56" spans="1:14" x14ac:dyDescent="0.3">
      <c r="C56" s="121"/>
      <c r="E56" s="121"/>
      <c r="H56" s="70"/>
    </row>
    <row r="57" spans="1:14" ht="18" x14ac:dyDescent="0.35">
      <c r="C57" s="122"/>
      <c r="D57" s="123"/>
      <c r="E57" s="121"/>
      <c r="G57" s="176" t="s">
        <v>231</v>
      </c>
      <c r="H57" s="176"/>
    </row>
    <row r="58" spans="1:14" x14ac:dyDescent="0.3">
      <c r="B58" s="177" t="s">
        <v>232</v>
      </c>
      <c r="C58" s="178"/>
      <c r="D58" s="178"/>
      <c r="E58" s="178"/>
      <c r="F58" s="178"/>
      <c r="G58" s="178"/>
      <c r="H58" s="178"/>
    </row>
    <row r="59" spans="1:14" ht="18" x14ac:dyDescent="0.35">
      <c r="B59" s="124"/>
      <c r="C59" s="125"/>
      <c r="D59" s="124" t="s">
        <v>233</v>
      </c>
      <c r="E59" s="121"/>
      <c r="G59" s="179" t="str">
        <f>G5</f>
        <v>за май 2024г.</v>
      </c>
      <c r="H59" s="179"/>
    </row>
    <row r="60" spans="1:14" x14ac:dyDescent="0.3">
      <c r="A60" s="170" t="s">
        <v>139</v>
      </c>
      <c r="B60" s="170" t="s">
        <v>234</v>
      </c>
      <c r="C60" s="126" t="s">
        <v>235</v>
      </c>
      <c r="D60" s="170" t="s">
        <v>236</v>
      </c>
      <c r="E60" s="126" t="s">
        <v>237</v>
      </c>
      <c r="F60" s="127" t="s">
        <v>238</v>
      </c>
      <c r="G60" s="170" t="s">
        <v>239</v>
      </c>
      <c r="H60" s="128" t="s">
        <v>240</v>
      </c>
    </row>
    <row r="61" spans="1:14" x14ac:dyDescent="0.3">
      <c r="A61" s="171"/>
      <c r="B61" s="171"/>
      <c r="C61" s="129" t="s">
        <v>241</v>
      </c>
      <c r="D61" s="171"/>
      <c r="E61" s="129" t="s">
        <v>242</v>
      </c>
      <c r="F61" s="130" t="s">
        <v>243</v>
      </c>
      <c r="G61" s="172"/>
      <c r="H61" s="129" t="s">
        <v>144</v>
      </c>
    </row>
    <row r="62" spans="1:14" x14ac:dyDescent="0.3">
      <c r="A62" s="131"/>
      <c r="B62" s="131"/>
      <c r="C62" s="71" t="s">
        <v>244</v>
      </c>
      <c r="D62" s="71" t="s">
        <v>245</v>
      </c>
      <c r="E62" s="71" t="s">
        <v>145</v>
      </c>
      <c r="F62" s="132" t="s">
        <v>147</v>
      </c>
      <c r="G62" s="71" t="s">
        <v>147</v>
      </c>
      <c r="H62" s="71" t="s">
        <v>147</v>
      </c>
    </row>
    <row r="63" spans="1:14" x14ac:dyDescent="0.3">
      <c r="A63" s="133"/>
      <c r="B63" s="134" t="s">
        <v>246</v>
      </c>
      <c r="C63" s="135"/>
      <c r="D63" s="134"/>
      <c r="E63" s="135"/>
      <c r="F63" s="136"/>
      <c r="G63" s="71"/>
      <c r="H63" s="71"/>
    </row>
    <row r="64" spans="1:14" x14ac:dyDescent="0.3">
      <c r="A64" s="137" t="s">
        <v>151</v>
      </c>
      <c r="B64" s="138" t="s">
        <v>247</v>
      </c>
      <c r="C64" s="139"/>
      <c r="D64" s="138"/>
      <c r="E64" s="139"/>
      <c r="F64" s="140"/>
      <c r="G64" s="167"/>
      <c r="H64" s="141">
        <f>H9</f>
        <v>744</v>
      </c>
    </row>
    <row r="65" spans="1:14" x14ac:dyDescent="0.3">
      <c r="A65" s="69"/>
      <c r="B65" s="104" t="s">
        <v>248</v>
      </c>
      <c r="C65" s="68">
        <v>176.7</v>
      </c>
      <c r="D65" s="104" t="s">
        <v>249</v>
      </c>
      <c r="E65" s="68">
        <v>110</v>
      </c>
      <c r="F65" s="68">
        <v>56.5</v>
      </c>
      <c r="G65" s="165">
        <f>1378476/H64/1000</f>
        <v>1.852790322580645</v>
      </c>
      <c r="H65" s="142">
        <f>F65-G65</f>
        <v>54.647209677419355</v>
      </c>
    </row>
    <row r="66" spans="1:14" x14ac:dyDescent="0.3">
      <c r="A66" s="69"/>
      <c r="B66" s="104" t="s">
        <v>250</v>
      </c>
      <c r="C66" s="68">
        <v>176.7</v>
      </c>
      <c r="D66" s="104" t="s">
        <v>249</v>
      </c>
      <c r="E66" s="68">
        <v>110</v>
      </c>
      <c r="F66" s="68">
        <v>56.5</v>
      </c>
      <c r="G66" s="165">
        <f>7021410/H64/1000</f>
        <v>9.4373790322580646</v>
      </c>
      <c r="H66" s="142">
        <f t="shared" ref="H66:H107" si="3">F66-G66</f>
        <v>47.062620967741935</v>
      </c>
    </row>
    <row r="67" spans="1:14" x14ac:dyDescent="0.3">
      <c r="A67" s="69" t="s">
        <v>158</v>
      </c>
      <c r="B67" s="106" t="s">
        <v>251</v>
      </c>
      <c r="C67" s="143"/>
      <c r="D67" s="106"/>
      <c r="E67" s="143"/>
      <c r="F67" s="68"/>
      <c r="G67" s="165"/>
      <c r="H67" s="142"/>
    </row>
    <row r="68" spans="1:14" x14ac:dyDescent="0.3">
      <c r="A68" s="69"/>
      <c r="B68" s="104" t="s">
        <v>252</v>
      </c>
      <c r="C68" s="68">
        <v>10.26</v>
      </c>
      <c r="D68" s="104" t="s">
        <v>253</v>
      </c>
      <c r="E68" s="68">
        <v>110</v>
      </c>
      <c r="F68" s="68">
        <v>56.5</v>
      </c>
      <c r="G68" s="165">
        <f>(7414000-1730000)/H64/1000</f>
        <v>7.639784946236559</v>
      </c>
      <c r="H68" s="142">
        <f t="shared" si="3"/>
        <v>48.86021505376344</v>
      </c>
      <c r="N68" s="144"/>
    </row>
    <row r="69" spans="1:14" x14ac:dyDescent="0.3">
      <c r="A69" s="69"/>
      <c r="B69" s="104" t="s">
        <v>254</v>
      </c>
      <c r="C69" s="68">
        <v>10.054</v>
      </c>
      <c r="D69" s="104" t="s">
        <v>253</v>
      </c>
      <c r="E69" s="68">
        <v>110</v>
      </c>
      <c r="F69" s="68">
        <v>56.5</v>
      </c>
      <c r="G69" s="165">
        <f>(6468000-2140000)/H64/1000</f>
        <v>5.817204301075269</v>
      </c>
      <c r="H69" s="142">
        <f t="shared" si="3"/>
        <v>50.682795698924728</v>
      </c>
      <c r="I69" s="109"/>
      <c r="N69" s="144"/>
    </row>
    <row r="70" spans="1:14" x14ac:dyDescent="0.3">
      <c r="A70" s="69" t="s">
        <v>161</v>
      </c>
      <c r="B70" s="106" t="s">
        <v>255</v>
      </c>
      <c r="C70" s="143"/>
      <c r="D70" s="106"/>
      <c r="E70" s="143"/>
      <c r="F70" s="68"/>
      <c r="G70" s="165"/>
      <c r="H70" s="142">
        <f t="shared" si="3"/>
        <v>0</v>
      </c>
    </row>
    <row r="71" spans="1:14" x14ac:dyDescent="0.3">
      <c r="A71" s="69"/>
      <c r="B71" s="104" t="s">
        <v>256</v>
      </c>
      <c r="C71" s="68">
        <v>114.9</v>
      </c>
      <c r="D71" s="104" t="s">
        <v>257</v>
      </c>
      <c r="E71" s="68">
        <v>35</v>
      </c>
      <c r="F71" s="68">
        <v>11.4</v>
      </c>
      <c r="G71" s="165">
        <f>80276/H64/1000</f>
        <v>0.10789784946236558</v>
      </c>
      <c r="H71" s="142">
        <f t="shared" si="3"/>
        <v>11.292102150537636</v>
      </c>
    </row>
    <row r="72" spans="1:14" x14ac:dyDescent="0.3">
      <c r="A72" s="69"/>
      <c r="B72" s="104" t="s">
        <v>258</v>
      </c>
      <c r="C72" s="68">
        <v>67.099999999999994</v>
      </c>
      <c r="D72" s="104" t="s">
        <v>259</v>
      </c>
      <c r="E72" s="68">
        <v>35</v>
      </c>
      <c r="F72" s="68">
        <v>14.4</v>
      </c>
      <c r="G72" s="165">
        <f>35318/H64/1000</f>
        <v>4.7470430107526877E-2</v>
      </c>
      <c r="H72" s="142">
        <f t="shared" si="3"/>
        <v>14.352529569892473</v>
      </c>
    </row>
    <row r="73" spans="1:14" x14ac:dyDescent="0.3">
      <c r="A73" s="69"/>
      <c r="B73" s="104" t="s">
        <v>260</v>
      </c>
      <c r="C73" s="68">
        <v>27.2</v>
      </c>
      <c r="D73" s="104" t="s">
        <v>261</v>
      </c>
      <c r="E73" s="68">
        <v>35</v>
      </c>
      <c r="F73" s="68">
        <v>11.4</v>
      </c>
      <c r="G73" s="165">
        <f>378455/H64/1000</f>
        <v>0.5086760752688172</v>
      </c>
      <c r="H73" s="142">
        <f t="shared" si="3"/>
        <v>10.891323924731184</v>
      </c>
    </row>
    <row r="74" spans="1:14" x14ac:dyDescent="0.3">
      <c r="A74" s="69"/>
      <c r="B74" s="104" t="s">
        <v>262</v>
      </c>
      <c r="C74" s="68">
        <v>52.7</v>
      </c>
      <c r="D74" s="104" t="s">
        <v>253</v>
      </c>
      <c r="E74" s="68">
        <v>35</v>
      </c>
      <c r="F74" s="68">
        <v>17.899999999999999</v>
      </c>
      <c r="G74" s="165">
        <f>1051631/H64/1000</f>
        <v>1.4134825268817204</v>
      </c>
      <c r="H74" s="142">
        <f t="shared" si="3"/>
        <v>16.48651747311828</v>
      </c>
    </row>
    <row r="75" spans="1:14" x14ac:dyDescent="0.3">
      <c r="A75" s="69"/>
      <c r="B75" s="104" t="s">
        <v>263</v>
      </c>
      <c r="C75" s="68">
        <v>4.82</v>
      </c>
      <c r="D75" s="104" t="s">
        <v>264</v>
      </c>
      <c r="E75" s="68">
        <v>35</v>
      </c>
      <c r="F75" s="68">
        <v>17.899999999999999</v>
      </c>
      <c r="G75" s="165">
        <f>16023/H64/1000</f>
        <v>2.1536290322580646E-2</v>
      </c>
      <c r="H75" s="142">
        <f t="shared" si="3"/>
        <v>17.878463709677419</v>
      </c>
    </row>
    <row r="76" spans="1:14" x14ac:dyDescent="0.3">
      <c r="A76" s="69"/>
      <c r="B76" s="104" t="s">
        <v>265</v>
      </c>
      <c r="C76" s="68">
        <v>4.82</v>
      </c>
      <c r="D76" s="104" t="s">
        <v>264</v>
      </c>
      <c r="E76" s="68">
        <v>35</v>
      </c>
      <c r="F76" s="68">
        <v>17.899999999999999</v>
      </c>
      <c r="G76" s="165">
        <f>564438/H64/1000</f>
        <v>0.75865322580645156</v>
      </c>
      <c r="H76" s="142">
        <f t="shared" si="3"/>
        <v>17.141346774193547</v>
      </c>
    </row>
    <row r="77" spans="1:14" x14ac:dyDescent="0.3">
      <c r="A77" s="69"/>
      <c r="B77" s="104" t="s">
        <v>266</v>
      </c>
      <c r="C77" s="68">
        <v>22</v>
      </c>
      <c r="D77" s="104" t="s">
        <v>259</v>
      </c>
      <c r="E77" s="68">
        <v>35</v>
      </c>
      <c r="F77" s="68">
        <v>17.899999999999999</v>
      </c>
      <c r="G77" s="165">
        <f>343172/H64/1000</f>
        <v>0.46125268817204301</v>
      </c>
      <c r="H77" s="142">
        <f t="shared" si="3"/>
        <v>17.438747311827957</v>
      </c>
    </row>
    <row r="78" spans="1:14" x14ac:dyDescent="0.3">
      <c r="A78" s="69"/>
      <c r="B78" s="104" t="s">
        <v>267</v>
      </c>
      <c r="C78" s="68">
        <v>22</v>
      </c>
      <c r="D78" s="104" t="s">
        <v>259</v>
      </c>
      <c r="E78" s="68">
        <v>35</v>
      </c>
      <c r="F78" s="68">
        <v>17.899999999999999</v>
      </c>
      <c r="G78" s="165">
        <f>300122/H64/1000</f>
        <v>0.40338978494623656</v>
      </c>
      <c r="H78" s="142">
        <f t="shared" si="3"/>
        <v>17.496610215053764</v>
      </c>
    </row>
    <row r="79" spans="1:14" x14ac:dyDescent="0.3">
      <c r="A79" s="69" t="s">
        <v>165</v>
      </c>
      <c r="B79" s="106" t="s">
        <v>268</v>
      </c>
      <c r="C79" s="143"/>
      <c r="D79" s="106"/>
      <c r="E79" s="68"/>
      <c r="F79" s="68"/>
      <c r="G79" s="165"/>
      <c r="H79" s="142"/>
    </row>
    <row r="80" spans="1:14" x14ac:dyDescent="0.3">
      <c r="A80" s="69"/>
      <c r="B80" s="104" t="s">
        <v>269</v>
      </c>
      <c r="C80" s="68">
        <v>33.549999999999997</v>
      </c>
      <c r="D80" s="104" t="s">
        <v>257</v>
      </c>
      <c r="E80" s="68">
        <v>35</v>
      </c>
      <c r="F80" s="68">
        <v>9.5</v>
      </c>
      <c r="G80" s="165">
        <f>192014/H64/1000</f>
        <v>0.25808333333333333</v>
      </c>
      <c r="H80" s="142">
        <f t="shared" si="3"/>
        <v>9.2419166666666666</v>
      </c>
    </row>
    <row r="81" spans="1:8" x14ac:dyDescent="0.3">
      <c r="A81" s="69"/>
      <c r="B81" s="104" t="s">
        <v>270</v>
      </c>
      <c r="C81" s="68">
        <v>27.7</v>
      </c>
      <c r="D81" s="104" t="s">
        <v>259</v>
      </c>
      <c r="E81" s="68">
        <v>35</v>
      </c>
      <c r="F81" s="68">
        <v>9.5</v>
      </c>
      <c r="G81" s="165">
        <f>63735/H64/1000</f>
        <v>8.5665322580645173E-2</v>
      </c>
      <c r="H81" s="142">
        <f t="shared" si="3"/>
        <v>9.4143346774193546</v>
      </c>
    </row>
    <row r="82" spans="1:8" x14ac:dyDescent="0.3">
      <c r="A82" s="69"/>
      <c r="B82" s="104" t="s">
        <v>271</v>
      </c>
      <c r="C82" s="68">
        <v>18.62</v>
      </c>
      <c r="D82" s="104" t="s">
        <v>261</v>
      </c>
      <c r="E82" s="68">
        <v>35</v>
      </c>
      <c r="F82" s="68">
        <v>11.4</v>
      </c>
      <c r="G82" s="165">
        <f>247506/H64/1000</f>
        <v>0.33266935483870969</v>
      </c>
      <c r="H82" s="142">
        <f t="shared" si="3"/>
        <v>11.06733064516129</v>
      </c>
    </row>
    <row r="83" spans="1:8" x14ac:dyDescent="0.3">
      <c r="A83" s="69" t="s">
        <v>169</v>
      </c>
      <c r="B83" s="106" t="s">
        <v>272</v>
      </c>
      <c r="C83" s="143"/>
      <c r="D83" s="106"/>
      <c r="E83" s="68"/>
      <c r="F83" s="68"/>
      <c r="G83" s="165"/>
      <c r="H83" s="142"/>
    </row>
    <row r="84" spans="1:8" x14ac:dyDescent="0.3">
      <c r="A84" s="69"/>
      <c r="B84" s="104" t="s">
        <v>273</v>
      </c>
      <c r="C84" s="68">
        <v>22.5</v>
      </c>
      <c r="D84" s="104" t="s">
        <v>274</v>
      </c>
      <c r="E84" s="68">
        <v>35</v>
      </c>
      <c r="F84" s="68">
        <v>20.7</v>
      </c>
      <c r="G84" s="165">
        <f>78498/H64/1000</f>
        <v>0.10550806451612904</v>
      </c>
      <c r="H84" s="142">
        <f t="shared" si="3"/>
        <v>20.59449193548387</v>
      </c>
    </row>
    <row r="85" spans="1:8" x14ac:dyDescent="0.3">
      <c r="A85" s="69"/>
      <c r="B85" s="104" t="s">
        <v>275</v>
      </c>
      <c r="C85" s="68">
        <v>19.690000000000001</v>
      </c>
      <c r="D85" s="104" t="s">
        <v>253</v>
      </c>
      <c r="E85" s="68">
        <v>35</v>
      </c>
      <c r="F85" s="68">
        <v>20.7</v>
      </c>
      <c r="G85" s="165">
        <f>1294230/H64/1000</f>
        <v>1.7395564516129032</v>
      </c>
      <c r="H85" s="142">
        <f t="shared" si="3"/>
        <v>18.960443548387097</v>
      </c>
    </row>
    <row r="86" spans="1:8" x14ac:dyDescent="0.3">
      <c r="A86" s="69" t="s">
        <v>173</v>
      </c>
      <c r="B86" s="106" t="s">
        <v>276</v>
      </c>
      <c r="C86" s="143"/>
      <c r="D86" s="106"/>
      <c r="E86" s="68"/>
      <c r="F86" s="68"/>
      <c r="G86" s="165"/>
      <c r="H86" s="142"/>
    </row>
    <row r="87" spans="1:8" x14ac:dyDescent="0.3">
      <c r="A87" s="69"/>
      <c r="B87" s="104" t="s">
        <v>277</v>
      </c>
      <c r="C87" s="68">
        <v>11.2</v>
      </c>
      <c r="D87" s="104" t="s">
        <v>261</v>
      </c>
      <c r="E87" s="68">
        <v>35</v>
      </c>
      <c r="F87" s="68">
        <v>11.4</v>
      </c>
      <c r="G87" s="165">
        <f>250455/H64/1000</f>
        <v>0.33663306451612901</v>
      </c>
      <c r="H87" s="142">
        <f t="shared" si="3"/>
        <v>11.063366935483872</v>
      </c>
    </row>
    <row r="88" spans="1:8" hidden="1" x14ac:dyDescent="0.3">
      <c r="A88" s="69"/>
      <c r="B88" s="104" t="s">
        <v>278</v>
      </c>
      <c r="C88" s="68">
        <v>12.6</v>
      </c>
      <c r="D88" s="104" t="s">
        <v>261</v>
      </c>
      <c r="E88" s="68">
        <v>35</v>
      </c>
      <c r="F88" s="68">
        <v>11.4</v>
      </c>
      <c r="G88" s="165">
        <v>0</v>
      </c>
      <c r="H88" s="142">
        <f t="shared" si="3"/>
        <v>11.4</v>
      </c>
    </row>
    <row r="89" spans="1:8" x14ac:dyDescent="0.3">
      <c r="A89" s="69" t="s">
        <v>176</v>
      </c>
      <c r="B89" s="106" t="s">
        <v>279</v>
      </c>
      <c r="C89" s="143"/>
      <c r="D89" s="106"/>
      <c r="E89" s="68"/>
      <c r="F89" s="68"/>
      <c r="G89" s="165"/>
      <c r="H89" s="142">
        <f>F89-G89</f>
        <v>0</v>
      </c>
    </row>
    <row r="90" spans="1:8" x14ac:dyDescent="0.3">
      <c r="A90" s="69"/>
      <c r="B90" s="104" t="s">
        <v>280</v>
      </c>
      <c r="C90" s="68">
        <v>13.5</v>
      </c>
      <c r="D90" s="104" t="s">
        <v>259</v>
      </c>
      <c r="E90" s="68">
        <v>35</v>
      </c>
      <c r="F90" s="68">
        <v>14.4</v>
      </c>
      <c r="G90" s="165">
        <f>131163/H64/1000</f>
        <v>0.17629435483870967</v>
      </c>
      <c r="H90" s="142">
        <f t="shared" si="3"/>
        <v>14.22370564516129</v>
      </c>
    </row>
    <row r="91" spans="1:8" x14ac:dyDescent="0.3">
      <c r="A91" s="69" t="s">
        <v>179</v>
      </c>
      <c r="B91" s="106" t="s">
        <v>281</v>
      </c>
      <c r="C91" s="143"/>
      <c r="D91" s="106"/>
      <c r="E91" s="143"/>
      <c r="F91" s="68"/>
      <c r="G91" s="165"/>
      <c r="H91" s="142"/>
    </row>
    <row r="92" spans="1:8" x14ac:dyDescent="0.3">
      <c r="A92" s="69"/>
      <c r="B92" s="104" t="s">
        <v>282</v>
      </c>
      <c r="C92" s="68">
        <v>42</v>
      </c>
      <c r="D92" s="104" t="s">
        <v>253</v>
      </c>
      <c r="E92" s="68">
        <v>110</v>
      </c>
      <c r="F92" s="68">
        <v>56.5</v>
      </c>
      <c r="G92" s="165">
        <f>1516254/H64/1000</f>
        <v>2.0379758064516129</v>
      </c>
      <c r="H92" s="142">
        <f t="shared" si="3"/>
        <v>54.462024193548388</v>
      </c>
    </row>
    <row r="93" spans="1:8" x14ac:dyDescent="0.3">
      <c r="A93" s="69"/>
      <c r="B93" s="104" t="s">
        <v>283</v>
      </c>
      <c r="C93" s="68">
        <v>63.2</v>
      </c>
      <c r="D93" s="104" t="s">
        <v>274</v>
      </c>
      <c r="E93" s="68">
        <v>110</v>
      </c>
      <c r="F93" s="111">
        <v>65</v>
      </c>
      <c r="G93" s="165">
        <f>380114/H64/1000</f>
        <v>0.51090591397849461</v>
      </c>
      <c r="H93" s="142">
        <f t="shared" si="3"/>
        <v>64.48909408602151</v>
      </c>
    </row>
    <row r="94" spans="1:8" x14ac:dyDescent="0.3">
      <c r="A94" s="69"/>
      <c r="B94" s="104" t="s">
        <v>284</v>
      </c>
      <c r="C94" s="68">
        <v>49</v>
      </c>
      <c r="D94" s="104" t="s">
        <v>285</v>
      </c>
      <c r="E94" s="68">
        <v>35</v>
      </c>
      <c r="F94" s="68">
        <v>11.4</v>
      </c>
      <c r="G94" s="165">
        <f>369125/H64/1000</f>
        <v>0.49613575268817206</v>
      </c>
      <c r="H94" s="142">
        <f t="shared" si="3"/>
        <v>10.903864247311828</v>
      </c>
    </row>
    <row r="95" spans="1:8" x14ac:dyDescent="0.3">
      <c r="A95" s="69" t="s">
        <v>184</v>
      </c>
      <c r="B95" s="106" t="s">
        <v>286</v>
      </c>
      <c r="C95" s="143"/>
      <c r="D95" s="106"/>
      <c r="E95" s="68"/>
      <c r="F95" s="68"/>
      <c r="G95" s="165"/>
      <c r="H95" s="142"/>
    </row>
    <row r="96" spans="1:8" x14ac:dyDescent="0.3">
      <c r="A96" s="69"/>
      <c r="B96" s="104" t="s">
        <v>287</v>
      </c>
      <c r="C96" s="68">
        <v>75.2</v>
      </c>
      <c r="D96" s="104" t="s">
        <v>259</v>
      </c>
      <c r="E96" s="68">
        <v>35</v>
      </c>
      <c r="F96" s="68">
        <v>11.4</v>
      </c>
      <c r="G96" s="165">
        <f>305382/H64/1000</f>
        <v>0.4104596774193548</v>
      </c>
      <c r="H96" s="142">
        <f t="shared" si="3"/>
        <v>10.989540322580645</v>
      </c>
    </row>
    <row r="97" spans="1:8" x14ac:dyDescent="0.3">
      <c r="A97" s="69" t="s">
        <v>187</v>
      </c>
      <c r="B97" s="106" t="s">
        <v>288</v>
      </c>
      <c r="C97" s="143"/>
      <c r="D97" s="106"/>
      <c r="E97" s="68"/>
      <c r="F97" s="68"/>
      <c r="G97" s="165"/>
      <c r="H97" s="142"/>
    </row>
    <row r="98" spans="1:8" x14ac:dyDescent="0.3">
      <c r="A98" s="69"/>
      <c r="B98" s="104" t="s">
        <v>289</v>
      </c>
      <c r="C98" s="68">
        <v>56.26</v>
      </c>
      <c r="D98" s="104" t="s">
        <v>253</v>
      </c>
      <c r="E98" s="68">
        <v>110</v>
      </c>
      <c r="F98" s="68">
        <v>56.5</v>
      </c>
      <c r="G98" s="165">
        <f>28371/H64/1000</f>
        <v>3.813306451612903E-2</v>
      </c>
      <c r="H98" s="142">
        <f t="shared" si="3"/>
        <v>56.461866935483869</v>
      </c>
    </row>
    <row r="99" spans="1:8" x14ac:dyDescent="0.3">
      <c r="A99" s="69"/>
      <c r="B99" s="104" t="s">
        <v>290</v>
      </c>
      <c r="C99" s="68">
        <v>75.5</v>
      </c>
      <c r="D99" s="104" t="s">
        <v>249</v>
      </c>
      <c r="E99" s="68">
        <v>110</v>
      </c>
      <c r="F99" s="68">
        <v>56.5</v>
      </c>
      <c r="G99" s="165">
        <f>(523776-0)/H64/1000</f>
        <v>0.70399999999999996</v>
      </c>
      <c r="H99" s="142">
        <f t="shared" si="3"/>
        <v>55.795999999999999</v>
      </c>
    </row>
    <row r="100" spans="1:8" x14ac:dyDescent="0.3">
      <c r="A100" s="69"/>
      <c r="B100" s="104" t="s">
        <v>291</v>
      </c>
      <c r="C100" s="68">
        <v>95.9</v>
      </c>
      <c r="D100" s="104" t="s">
        <v>285</v>
      </c>
      <c r="E100" s="68">
        <v>35</v>
      </c>
      <c r="F100" s="68">
        <v>11.4</v>
      </c>
      <c r="G100" s="165">
        <f>129150/H64/1000</f>
        <v>0.17358870967741935</v>
      </c>
      <c r="H100" s="142">
        <f t="shared" si="3"/>
        <v>11.226411290322581</v>
      </c>
    </row>
    <row r="101" spans="1:8" x14ac:dyDescent="0.3">
      <c r="A101" s="69" t="s">
        <v>190</v>
      </c>
      <c r="B101" s="106" t="s">
        <v>292</v>
      </c>
      <c r="C101" s="143"/>
      <c r="D101" s="106"/>
      <c r="E101" s="68"/>
      <c r="F101" s="68"/>
      <c r="G101" s="165"/>
      <c r="H101" s="142"/>
    </row>
    <row r="102" spans="1:8" x14ac:dyDescent="0.3">
      <c r="A102" s="69"/>
      <c r="B102" s="104" t="s">
        <v>291</v>
      </c>
      <c r="C102" s="68">
        <v>43.3</v>
      </c>
      <c r="D102" s="104" t="s">
        <v>253</v>
      </c>
      <c r="E102" s="68">
        <v>35</v>
      </c>
      <c r="F102" s="68">
        <v>17.899999999999999</v>
      </c>
      <c r="G102" s="165">
        <f>0/H64/1000</f>
        <v>0</v>
      </c>
      <c r="H102" s="142">
        <f t="shared" si="3"/>
        <v>17.899999999999999</v>
      </c>
    </row>
    <row r="103" spans="1:8" x14ac:dyDescent="0.3">
      <c r="A103" s="69" t="s">
        <v>194</v>
      </c>
      <c r="B103" s="106" t="s">
        <v>293</v>
      </c>
      <c r="C103" s="143"/>
      <c r="D103" s="106"/>
      <c r="E103" s="68"/>
      <c r="F103" s="68"/>
      <c r="G103" s="165"/>
      <c r="H103" s="142"/>
    </row>
    <row r="104" spans="1:8" x14ac:dyDescent="0.3">
      <c r="A104" s="69"/>
      <c r="B104" s="104" t="s">
        <v>294</v>
      </c>
      <c r="C104" s="68">
        <v>42</v>
      </c>
      <c r="D104" s="104" t="s">
        <v>259</v>
      </c>
      <c r="E104" s="68">
        <v>35</v>
      </c>
      <c r="F104" s="68">
        <v>14.4</v>
      </c>
      <c r="G104" s="165">
        <f>-106799/H64/1000</f>
        <v>-0.14354704301075269</v>
      </c>
      <c r="H104" s="142">
        <f t="shared" si="3"/>
        <v>14.543547043010753</v>
      </c>
    </row>
    <row r="105" spans="1:8" x14ac:dyDescent="0.3">
      <c r="A105" s="69"/>
      <c r="B105" s="104" t="s">
        <v>295</v>
      </c>
      <c r="C105" s="68">
        <v>37</v>
      </c>
      <c r="D105" s="104" t="s">
        <v>259</v>
      </c>
      <c r="E105" s="68">
        <v>35</v>
      </c>
      <c r="F105" s="68">
        <v>14.4</v>
      </c>
      <c r="G105" s="165">
        <f>34038/H64/1000</f>
        <v>4.5749999999999999E-2</v>
      </c>
      <c r="H105" s="142">
        <f t="shared" si="3"/>
        <v>14.35425</v>
      </c>
    </row>
    <row r="106" spans="1:8" x14ac:dyDescent="0.3">
      <c r="A106" s="69"/>
      <c r="B106" s="104" t="s">
        <v>290</v>
      </c>
      <c r="C106" s="68"/>
      <c r="D106" s="104" t="s">
        <v>259</v>
      </c>
      <c r="E106" s="68">
        <v>35</v>
      </c>
      <c r="F106" s="68">
        <v>14.4</v>
      </c>
      <c r="G106" s="165">
        <f>463403/H64/1000</f>
        <v>0.62285349462365591</v>
      </c>
      <c r="H106" s="142">
        <f t="shared" si="3"/>
        <v>13.777146505376344</v>
      </c>
    </row>
    <row r="107" spans="1:8" x14ac:dyDescent="0.3">
      <c r="A107" s="114"/>
      <c r="B107" s="116" t="s">
        <v>296</v>
      </c>
      <c r="C107" s="117">
        <v>91</v>
      </c>
      <c r="D107" s="116" t="s">
        <v>297</v>
      </c>
      <c r="E107" s="117">
        <v>35</v>
      </c>
      <c r="F107" s="117">
        <v>17.899999999999999</v>
      </c>
      <c r="G107" s="168">
        <f>103016/H64/1000</f>
        <v>0.13846236559139785</v>
      </c>
      <c r="H107" s="145">
        <f t="shared" si="3"/>
        <v>17.761537634408601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tabSelected="1" workbookViewId="0">
      <selection activeCell="F23" sqref="F23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7" customWidth="1"/>
    <col min="8" max="8" width="26.109375" style="4" customWidth="1"/>
    <col min="9" max="16384" width="9.109375" style="1"/>
  </cols>
  <sheetData>
    <row r="1" spans="1:8" x14ac:dyDescent="0.3">
      <c r="A1" s="180" t="s">
        <v>0</v>
      </c>
      <c r="B1" s="180"/>
      <c r="C1" s="180"/>
      <c r="D1" s="180"/>
      <c r="E1" s="180"/>
      <c r="F1" s="180"/>
      <c r="G1" s="180"/>
      <c r="H1" s="180"/>
    </row>
    <row r="2" spans="1:8" x14ac:dyDescent="0.3">
      <c r="A2" s="180" t="s">
        <v>1</v>
      </c>
      <c r="B2" s="180"/>
      <c r="C2" s="180"/>
      <c r="D2" s="180"/>
      <c r="E2" s="180"/>
      <c r="F2" s="180"/>
      <c r="G2" s="180"/>
      <c r="H2" s="180"/>
    </row>
    <row r="4" spans="1:8" x14ac:dyDescent="0.3">
      <c r="A4" s="180" t="s">
        <v>2</v>
      </c>
      <c r="B4" s="180"/>
      <c r="C4" s="180"/>
      <c r="D4" s="180"/>
      <c r="E4" s="180"/>
      <c r="F4" s="180"/>
      <c r="G4" s="180"/>
      <c r="H4" s="180"/>
    </row>
    <row r="6" spans="1:8" x14ac:dyDescent="0.3">
      <c r="A6" s="180" t="s">
        <v>3</v>
      </c>
      <c r="B6" s="180"/>
      <c r="C6" s="180"/>
      <c r="D6" s="180"/>
      <c r="E6" s="180"/>
      <c r="F6" s="180"/>
      <c r="G6" s="180"/>
      <c r="H6" s="180"/>
    </row>
    <row r="7" spans="1:8" x14ac:dyDescent="0.3">
      <c r="B7" s="147" t="s">
        <v>311</v>
      </c>
    </row>
    <row r="8" spans="1:8" s="7" customFormat="1" ht="46.8" x14ac:dyDescent="0.3">
      <c r="A8" s="148" t="s">
        <v>4</v>
      </c>
      <c r="B8" s="148" t="s">
        <v>5</v>
      </c>
      <c r="C8" s="148" t="s">
        <v>6</v>
      </c>
      <c r="D8" s="148" t="s">
        <v>7</v>
      </c>
      <c r="E8" s="148" t="s">
        <v>8</v>
      </c>
      <c r="F8" s="148" t="s">
        <v>9</v>
      </c>
      <c r="G8" s="6" t="s">
        <v>302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8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9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9">
        <f>11550/744000</f>
        <v>1.5524193548387097E-2</v>
      </c>
      <c r="H11" s="19">
        <f>F11/1000-G11</f>
        <v>2.4844758064516128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8">
        <f>1519122/744000</f>
        <v>2.0418306451612902</v>
      </c>
      <c r="H12" s="11">
        <f t="shared" ref="H12:H49" si="0">F12/1000-G12</f>
        <v>13.958169354838709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1761606/744000</f>
        <v>2.36775</v>
      </c>
      <c r="H13" s="19">
        <f t="shared" si="0"/>
        <v>13.632249999999999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60">
        <f>26294/744000</f>
        <v>3.5341397849462365E-2</v>
      </c>
      <c r="H14" s="25">
        <f t="shared" si="0"/>
        <v>9.9646586021505374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61">
        <f>21903/744000</f>
        <v>2.9439516129032259E-2</v>
      </c>
      <c r="H15" s="29">
        <f t="shared" si="0"/>
        <v>9.9705604838709672</v>
      </c>
    </row>
    <row r="16" spans="1:8" x14ac:dyDescent="0.3">
      <c r="A16" s="8">
        <v>5</v>
      </c>
      <c r="B16" s="9" t="s">
        <v>24</v>
      </c>
      <c r="C16" s="10" t="s">
        <v>12</v>
      </c>
      <c r="D16" s="154" t="s">
        <v>20</v>
      </c>
      <c r="E16" s="8" t="s">
        <v>21</v>
      </c>
      <c r="F16" s="10">
        <v>40000</v>
      </c>
      <c r="G16" s="158">
        <f>2019468/744000</f>
        <v>2.7143387096774192</v>
      </c>
      <c r="H16" s="11">
        <f t="shared" si="0"/>
        <v>37.285661290322579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(1286936+2960)/720000</f>
        <v>1.7915222222222222</v>
      </c>
      <c r="H17" s="19" t="s">
        <v>15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31">
        <v>0</v>
      </c>
      <c r="H18" s="36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59">
        <f>52440/744000</f>
        <v>7.0483870967741932E-2</v>
      </c>
      <c r="H19" s="15">
        <f>F19/1000-G19</f>
        <v>19.929516129032258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134638/744000</f>
        <v>0.18096505376344085</v>
      </c>
      <c r="H20" s="19">
        <f t="shared" si="0"/>
        <v>9.8190349462365596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100170/744000</f>
        <v>0.13463709677419355</v>
      </c>
      <c r="H21" s="36">
        <f t="shared" si="0"/>
        <v>15.865362903225806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f>2610/744000</f>
        <v>3.5080645161290323E-3</v>
      </c>
      <c r="H22" s="15">
        <f>F22/1000-G22</f>
        <v>15.996491935483871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61">
        <f>52200/744000</f>
        <v>7.0161290322580644E-2</v>
      </c>
      <c r="H23" s="29">
        <f t="shared" si="0"/>
        <v>2.4298387096774192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v>0</v>
      </c>
      <c r="H24" s="36" t="s">
        <v>15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625560/744000</f>
        <v>0.84080645161290324</v>
      </c>
      <c r="H25" s="19">
        <f t="shared" si="0"/>
        <v>5.4591935483870966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f>840000/744000</f>
        <v>1.1290322580645162</v>
      </c>
      <c r="H26" s="36">
        <f>F26/1000-G26</f>
        <v>14.870967741935484</v>
      </c>
      <c r="J26" s="1" t="s">
        <v>300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f>11760/744000</f>
        <v>1.5806451612903227E-2</v>
      </c>
      <c r="H27" s="36" t="s">
        <v>15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61">
        <f>15683/744000</f>
        <v>2.1079301075268817E-2</v>
      </c>
      <c r="H28" s="29">
        <f t="shared" si="0"/>
        <v>2.478920698924731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61">
        <f>36244/744000</f>
        <v>4.871505376344086E-2</v>
      </c>
      <c r="H29" s="29">
        <f t="shared" si="0"/>
        <v>2.4512849462365591</v>
      </c>
      <c r="O29" s="1" t="s">
        <v>300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31">
        <f>6866202/744000</f>
        <v>9.2287661290322589</v>
      </c>
      <c r="H30" s="36">
        <f>F30/1000-G30</f>
        <v>30.771233870967741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v>0</v>
      </c>
      <c r="H31" s="36" t="s">
        <v>15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301</v>
      </c>
      <c r="E32" s="8" t="s">
        <v>28</v>
      </c>
      <c r="F32" s="10">
        <v>10000</v>
      </c>
      <c r="G32" s="162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598764/744000</f>
        <v>0.8047903225806452</v>
      </c>
      <c r="H33" s="19">
        <f t="shared" si="0"/>
        <v>9.1952096774193546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61">
        <f>114334/744000</f>
        <v>0.1536747311827957</v>
      </c>
      <c r="H34" s="29">
        <f t="shared" si="0"/>
        <v>6.1463252688172041</v>
      </c>
    </row>
    <row r="35" spans="1:8" ht="46.8" hidden="1" customHeight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8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4" t="s">
        <v>20</v>
      </c>
      <c r="E37" s="8" t="s">
        <v>26</v>
      </c>
      <c r="F37" s="10">
        <v>5600</v>
      </c>
      <c r="G37" s="163">
        <f>13912/744000</f>
        <v>1.8698924731182797E-2</v>
      </c>
      <c r="H37" s="33">
        <f t="shared" si="0"/>
        <v>5.5813010752688168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f>43960/744000</f>
        <v>5.9086021505376347E-2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61">
        <f>12457/744000</f>
        <v>1.6743279569892473E-2</v>
      </c>
      <c r="H39" s="29">
        <f t="shared" si="0"/>
        <v>0.61325672043010748</v>
      </c>
    </row>
    <row r="40" spans="1:8" x14ac:dyDescent="0.3">
      <c r="A40" s="8">
        <v>19</v>
      </c>
      <c r="B40" s="9" t="s">
        <v>51</v>
      </c>
      <c r="C40" s="10" t="s">
        <v>12</v>
      </c>
      <c r="D40" s="154" t="s">
        <v>20</v>
      </c>
      <c r="E40" s="8" t="s">
        <v>26</v>
      </c>
      <c r="F40" s="10">
        <v>2500</v>
      </c>
      <c r="G40" s="31">
        <v>0</v>
      </c>
      <c r="H40" s="36" t="s">
        <v>15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f>1342/744000</f>
        <v>1.803763440860215E-3</v>
      </c>
      <c r="H41" s="19">
        <f t="shared" si="0"/>
        <v>2.4981962365591399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61">
        <f>62552/744000</f>
        <v>8.4075268817204299E-2</v>
      </c>
      <c r="H42" s="29">
        <f t="shared" si="0"/>
        <v>1.5159247311827957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61">
        <f>23781/744000</f>
        <v>3.1963709677419357E-2</v>
      </c>
      <c r="H43" s="29">
        <f t="shared" si="0"/>
        <v>6.2680362903225806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110789/744000</f>
        <v>0.14890994623655915</v>
      </c>
      <c r="H44" s="31">
        <f>F44/1000-G44</f>
        <v>3.8510900537634409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63">
        <f>15408/744000</f>
        <v>2.0709677419354838E-2</v>
      </c>
      <c r="H46" s="33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91596/744000</f>
        <v>0.12311290322580645</v>
      </c>
      <c r="H47" s="20">
        <f>F47/1000-G47</f>
        <v>3.8768870967741935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61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61">
        <f>53022/744000</f>
        <v>7.1266129032258069E-2</v>
      </c>
      <c r="H49" s="29">
        <f t="shared" si="0"/>
        <v>0.92873387096774196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61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1" t="s">
        <v>66</v>
      </c>
      <c r="B52" s="181"/>
      <c r="C52" s="181"/>
      <c r="D52" s="181"/>
      <c r="E52" s="181"/>
      <c r="F52" s="181"/>
      <c r="G52" s="181"/>
      <c r="H52" s="181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302</v>
      </c>
      <c r="H54" s="6" t="s">
        <v>10</v>
      </c>
    </row>
    <row r="55" spans="1:10" x14ac:dyDescent="0.3">
      <c r="A55" s="26"/>
      <c r="B55" s="149" t="s">
        <v>71</v>
      </c>
      <c r="C55" s="27"/>
      <c r="D55" s="24"/>
      <c r="E55" s="149"/>
      <c r="F55" s="24"/>
      <c r="G55" s="161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9">
        <f>7160063/744000</f>
        <v>9.6237405913978495</v>
      </c>
      <c r="H56" s="40">
        <f t="shared" ref="H56:H108" si="1">F56-G56</f>
        <v>56.029759408602146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9">
        <f>2969012/744000</f>
        <v>3.9906075268817203</v>
      </c>
      <c r="H57" s="40">
        <f t="shared" si="1"/>
        <v>84.542142473118275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9">
        <f>503714/744000</f>
        <v>0.67703494623655913</v>
      </c>
      <c r="H58" s="40">
        <f t="shared" si="1"/>
        <v>87.855715053763433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59">
        <f>4448897/744000</f>
        <v>5.9797002688172043</v>
      </c>
      <c r="H59" s="40">
        <f t="shared" si="1"/>
        <v>82.553049731182796</v>
      </c>
      <c r="J59" s="1" t="s">
        <v>300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59">
        <f>2544225/744000</f>
        <v>3.4196572580645159</v>
      </c>
      <c r="H60" s="40">
        <f t="shared" si="1"/>
        <v>85.113092741935475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9">
        <f>257976/744000</f>
        <v>0.34674193548387094</v>
      </c>
      <c r="H61" s="40">
        <f t="shared" si="1"/>
        <v>88.186008064516116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9">
        <f>1681726/744000</f>
        <v>2.2603844086021505</v>
      </c>
      <c r="H62" s="40">
        <f t="shared" si="1"/>
        <v>73.340615591397849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9">
        <f>8567691/744000</f>
        <v>11.515713709677419</v>
      </c>
      <c r="H63" s="40">
        <f t="shared" si="1"/>
        <v>89.948786290322587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9">
        <f>3248153/744000</f>
        <v>4.3657970430107529</v>
      </c>
      <c r="H64" s="72">
        <f t="shared" si="1"/>
        <v>97.098702956989243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159">
        <v>0</v>
      </c>
      <c r="H65" s="72" t="s">
        <v>15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69090/744000</f>
        <v>9.2862903225806454E-2</v>
      </c>
      <c r="H66" s="46">
        <f t="shared" si="1"/>
        <v>11.108887096774193</v>
      </c>
    </row>
    <row r="67" spans="1:8" x14ac:dyDescent="0.3">
      <c r="A67" s="26"/>
      <c r="B67" s="149" t="s">
        <v>84</v>
      </c>
      <c r="C67" s="47"/>
      <c r="D67" s="48"/>
      <c r="E67" s="149"/>
      <c r="F67" s="150"/>
      <c r="G67" s="161"/>
      <c r="H67" s="150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63">
        <f>59670/744000</f>
        <v>8.0201612903225805E-2</v>
      </c>
      <c r="H68" s="151">
        <f t="shared" si="1"/>
        <v>75.520798387096775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59">
        <v>0</v>
      </c>
      <c r="H69" s="156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60">
        <f>939775/744000</f>
        <v>1.2631384408602151</v>
      </c>
      <c r="H70" s="146">
        <f t="shared" si="1"/>
        <v>74.337861559139782</v>
      </c>
    </row>
    <row r="71" spans="1:8" x14ac:dyDescent="0.3">
      <c r="A71" s="26"/>
      <c r="B71" s="149" t="s">
        <v>88</v>
      </c>
      <c r="C71" s="50"/>
      <c r="D71" s="48"/>
      <c r="E71" s="149"/>
      <c r="F71" s="150"/>
      <c r="G71" s="161"/>
      <c r="H71" s="150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63">
        <f>5087745/744000</f>
        <v>6.8383669354838705</v>
      </c>
      <c r="H72" s="54">
        <f t="shared" si="1"/>
        <v>94.626133064516125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1234810/744000</f>
        <v>1.6596908602150537</v>
      </c>
      <c r="H73" s="46">
        <f t="shared" si="1"/>
        <v>15.302959139784946</v>
      </c>
    </row>
    <row r="74" spans="1:8" x14ac:dyDescent="0.3">
      <c r="A74" s="26"/>
      <c r="B74" s="149" t="s">
        <v>91</v>
      </c>
      <c r="C74" s="47"/>
      <c r="D74" s="48"/>
      <c r="E74" s="149"/>
      <c r="F74" s="150"/>
      <c r="G74" s="161"/>
      <c r="H74" s="150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8">
        <f>22440/744000</f>
        <v>3.0161290322580647E-2</v>
      </c>
      <c r="H75" s="39">
        <f t="shared" si="1"/>
        <v>21.093138709677422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9">
        <f>1009083/744000</f>
        <v>1.3562943548387096</v>
      </c>
      <c r="H76" s="40">
        <f t="shared" si="1"/>
        <v>15.60635564516129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f>700231/744000</f>
        <v>0.94117069892473115</v>
      </c>
      <c r="H77" s="72" t="s">
        <v>15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159">
        <v>0</v>
      </c>
      <c r="H78" s="72" t="s">
        <v>15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60">
        <f>48101/744000</f>
        <v>6.4651881720430113E-2</v>
      </c>
      <c r="H79" s="146">
        <f t="shared" si="1"/>
        <v>21.058648118279574</v>
      </c>
    </row>
    <row r="80" spans="1:8" x14ac:dyDescent="0.3">
      <c r="A80" s="26"/>
      <c r="B80" s="149" t="s">
        <v>97</v>
      </c>
      <c r="C80" s="50"/>
      <c r="D80" s="48"/>
      <c r="E80" s="149"/>
      <c r="F80" s="150"/>
      <c r="G80" s="161"/>
      <c r="H80" s="150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61">
        <v>0</v>
      </c>
      <c r="H81" s="53" t="s">
        <v>15</v>
      </c>
    </row>
    <row r="82" spans="1:8" ht="15.6" hidden="1" customHeight="1" x14ac:dyDescent="0.3">
      <c r="A82" s="26"/>
      <c r="B82" s="149" t="s">
        <v>99</v>
      </c>
      <c r="C82" s="50"/>
      <c r="D82" s="48"/>
      <c r="E82" s="149"/>
      <c r="F82" s="150"/>
      <c r="G82" s="161"/>
      <c r="H82" s="150"/>
    </row>
    <row r="83" spans="1:8" ht="15.6" hidden="1" customHeight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61">
        <v>0</v>
      </c>
      <c r="H83" s="53" t="s">
        <v>15</v>
      </c>
    </row>
    <row r="84" spans="1:8" x14ac:dyDescent="0.3">
      <c r="A84" s="26"/>
      <c r="B84" s="149" t="s">
        <v>101</v>
      </c>
      <c r="C84" s="50"/>
      <c r="D84" s="48"/>
      <c r="E84" s="149"/>
      <c r="F84" s="150"/>
      <c r="G84" s="161"/>
      <c r="H84" s="150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63">
        <f>19290/744000</f>
        <v>2.5927419354838711E-2</v>
      </c>
      <c r="H85" s="40">
        <f t="shared" si="1"/>
        <v>75.575072580645156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9">
        <f>1931160/744000</f>
        <v>2.5956451612903226</v>
      </c>
      <c r="H86" s="40">
        <f t="shared" si="1"/>
        <v>98.86885483870968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1203195/744000</f>
        <v>1.6171975806451613</v>
      </c>
      <c r="H87" s="46">
        <f t="shared" si="1"/>
        <v>11.824902419354839</v>
      </c>
    </row>
    <row r="88" spans="1:8" x14ac:dyDescent="0.3">
      <c r="A88" s="26"/>
      <c r="B88" s="149" t="s">
        <v>104</v>
      </c>
      <c r="C88" s="47"/>
      <c r="D88" s="48"/>
      <c r="E88" s="149"/>
      <c r="F88" s="150"/>
      <c r="G88" s="161"/>
      <c r="H88" s="150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63">
        <f>3543232/744000</f>
        <v>4.7624086021505381</v>
      </c>
      <c r="H89" s="54">
        <f>F89-G89</f>
        <v>70.838591397849456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988295/744000</f>
        <v>1.3283534946236559</v>
      </c>
      <c r="H90" s="152" t="s">
        <v>15</v>
      </c>
    </row>
    <row r="91" spans="1:8" x14ac:dyDescent="0.3">
      <c r="A91" s="26"/>
      <c r="B91" s="149" t="s">
        <v>107</v>
      </c>
      <c r="C91" s="50"/>
      <c r="D91" s="48"/>
      <c r="E91" s="149"/>
      <c r="F91" s="150"/>
      <c r="G91" s="161"/>
      <c r="H91" s="150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61">
        <f>94381/744000</f>
        <v>0.12685618279569894</v>
      </c>
      <c r="H92" s="52">
        <f t="shared" si="1"/>
        <v>16.835793817204301</v>
      </c>
    </row>
    <row r="93" spans="1:8" x14ac:dyDescent="0.3">
      <c r="A93" s="26"/>
      <c r="B93" s="149" t="s">
        <v>109</v>
      </c>
      <c r="C93" s="50"/>
      <c r="D93" s="48"/>
      <c r="E93" s="149"/>
      <c r="F93" s="150"/>
      <c r="G93" s="161"/>
      <c r="H93" s="150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61">
        <f>1968792/744000</f>
        <v>2.6462258064516129</v>
      </c>
      <c r="H94" s="52">
        <f t="shared" si="1"/>
        <v>14.316424193548388</v>
      </c>
    </row>
    <row r="95" spans="1:8" x14ac:dyDescent="0.3">
      <c r="A95" s="26"/>
      <c r="B95" s="149" t="s">
        <v>112</v>
      </c>
      <c r="C95" s="47"/>
      <c r="D95" s="48"/>
      <c r="E95" s="149"/>
      <c r="F95" s="150"/>
      <c r="G95" s="161"/>
      <c r="H95" s="150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8">
        <f>3672/744000</f>
        <v>4.9354838709677416E-3</v>
      </c>
      <c r="H96" s="39">
        <f t="shared" si="1"/>
        <v>16.957714516129034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62552/744000</f>
        <v>8.4075268817204299E-2</v>
      </c>
      <c r="H97" s="46">
        <f t="shared" si="1"/>
        <v>21.039224731182799</v>
      </c>
    </row>
    <row r="98" spans="1:8" x14ac:dyDescent="0.3">
      <c r="A98" s="26"/>
      <c r="B98" s="149" t="s">
        <v>115</v>
      </c>
      <c r="C98" s="57"/>
      <c r="D98" s="58"/>
      <c r="E98" s="149"/>
      <c r="F98" s="150"/>
      <c r="G98" s="161"/>
      <c r="H98" s="150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61">
        <f>12457/744000</f>
        <v>1.6743279569892473E-2</v>
      </c>
      <c r="H99" s="52">
        <f t="shared" si="1"/>
        <v>16.945906720430109</v>
      </c>
    </row>
    <row r="100" spans="1:8" x14ac:dyDescent="0.3">
      <c r="A100" s="26"/>
      <c r="B100" s="149" t="s">
        <v>117</v>
      </c>
      <c r="C100" s="57"/>
      <c r="D100" s="58"/>
      <c r="E100" s="149"/>
      <c r="F100" s="150"/>
      <c r="G100" s="161"/>
      <c r="H100" s="150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61">
        <f>129098/744000</f>
        <v>0.17351881720430107</v>
      </c>
      <c r="H101" s="52">
        <f t="shared" si="1"/>
        <v>20.949781182795704</v>
      </c>
    </row>
    <row r="102" spans="1:8" x14ac:dyDescent="0.3">
      <c r="A102" s="26"/>
      <c r="B102" s="149" t="s">
        <v>119</v>
      </c>
      <c r="C102" s="57"/>
      <c r="D102" s="58"/>
      <c r="E102" s="149"/>
      <c r="F102" s="150"/>
      <c r="G102" s="161"/>
      <c r="H102" s="150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8">
        <f>61390/744000</f>
        <v>8.2513440860215059E-2</v>
      </c>
      <c r="H103" s="39">
        <f t="shared" si="1"/>
        <v>16.880136559139785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9">
        <f>57008/744000</f>
        <v>7.6623655913978489E-2</v>
      </c>
      <c r="H104" s="72">
        <f t="shared" si="1"/>
        <v>16.886026344086023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9">
        <f>576345/744000</f>
        <v>0.77465725806451613</v>
      </c>
      <c r="H105" s="72">
        <f t="shared" si="1"/>
        <v>16.187992741935485</v>
      </c>
    </row>
    <row r="106" spans="1:8" x14ac:dyDescent="0.3">
      <c r="A106" s="26"/>
      <c r="B106" s="149" t="s">
        <v>123</v>
      </c>
      <c r="C106" s="57"/>
      <c r="D106" s="58"/>
      <c r="E106" s="149"/>
      <c r="F106" s="150"/>
      <c r="G106" s="161"/>
      <c r="H106" s="150"/>
    </row>
    <row r="107" spans="1:8" x14ac:dyDescent="0.3">
      <c r="A107" s="8">
        <v>38</v>
      </c>
      <c r="B107" s="9" t="s">
        <v>124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8">
        <f>126399/744000</f>
        <v>0.16989112903225806</v>
      </c>
      <c r="H107" s="39">
        <f t="shared" si="1"/>
        <v>16.792758870967742</v>
      </c>
    </row>
    <row r="108" spans="1:8" x14ac:dyDescent="0.3">
      <c r="A108" s="16">
        <v>39</v>
      </c>
      <c r="B108" s="17" t="s">
        <v>125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110586/744000</f>
        <v>0.14863709677419354</v>
      </c>
      <c r="H108" s="46">
        <f t="shared" si="1"/>
        <v>24.175162903225807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май 2024г.</vt:lpstr>
      <vt:lpstr>БЭУ за май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2024-06-12T09:12:44Z</dcterms:modified>
</cp:coreProperties>
</file>