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апрель 2025г." sheetId="3" r:id="rId1"/>
    <sheet name="БЭУ за апрель 2025г." sheetId="3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37" l="1"/>
  <c r="F108" i="37"/>
  <c r="H108" i="37" s="1"/>
  <c r="H107" i="37"/>
  <c r="G107" i="37"/>
  <c r="F107" i="37"/>
  <c r="G105" i="37"/>
  <c r="H105" i="37" s="1"/>
  <c r="F105" i="37"/>
  <c r="G104" i="37"/>
  <c r="F104" i="37"/>
  <c r="H104" i="37" s="1"/>
  <c r="G103" i="37"/>
  <c r="F103" i="37"/>
  <c r="H103" i="37" s="1"/>
  <c r="H101" i="37"/>
  <c r="G101" i="37"/>
  <c r="F101" i="37"/>
  <c r="G99" i="37"/>
  <c r="H99" i="37" s="1"/>
  <c r="F99" i="37"/>
  <c r="G97" i="37"/>
  <c r="F97" i="37"/>
  <c r="H97" i="37" s="1"/>
  <c r="G96" i="37"/>
  <c r="F96" i="37"/>
  <c r="H96" i="37" s="1"/>
  <c r="H94" i="37"/>
  <c r="G94" i="37"/>
  <c r="F94" i="37"/>
  <c r="G92" i="37"/>
  <c r="H92" i="37" s="1"/>
  <c r="F92" i="37"/>
  <c r="F90" i="37"/>
  <c r="G89" i="37"/>
  <c r="H89" i="37" s="1"/>
  <c r="F89" i="37"/>
  <c r="G87" i="37"/>
  <c r="F87" i="37"/>
  <c r="H87" i="37" s="1"/>
  <c r="G86" i="37"/>
  <c r="F86" i="37"/>
  <c r="H86" i="37" s="1"/>
  <c r="H85" i="37"/>
  <c r="G85" i="37"/>
  <c r="F85" i="37"/>
  <c r="F83" i="37"/>
  <c r="F81" i="37"/>
  <c r="G79" i="37"/>
  <c r="F79" i="37"/>
  <c r="H79" i="37" s="1"/>
  <c r="H78" i="37"/>
  <c r="G78" i="37"/>
  <c r="F78" i="37"/>
  <c r="F77" i="37"/>
  <c r="H77" i="37" s="1"/>
  <c r="G76" i="37"/>
  <c r="F76" i="37"/>
  <c r="H76" i="37" s="1"/>
  <c r="H75" i="37"/>
  <c r="G75" i="37"/>
  <c r="F75" i="37"/>
  <c r="G73" i="37"/>
  <c r="H73" i="37" s="1"/>
  <c r="F73" i="37"/>
  <c r="G72" i="37"/>
  <c r="F72" i="37"/>
  <c r="H72" i="37" s="1"/>
  <c r="G70" i="37"/>
  <c r="F70" i="37"/>
  <c r="H70" i="37" s="1"/>
  <c r="F69" i="37"/>
  <c r="G68" i="37"/>
  <c r="F68" i="37"/>
  <c r="H68" i="37" s="1"/>
  <c r="H66" i="37"/>
  <c r="G66" i="37"/>
  <c r="F66" i="37"/>
  <c r="G65" i="37"/>
  <c r="H65" i="37" s="1"/>
  <c r="F65" i="37"/>
  <c r="G64" i="37"/>
  <c r="F64" i="37"/>
  <c r="H64" i="37" s="1"/>
  <c r="G63" i="37"/>
  <c r="F63" i="37"/>
  <c r="H63" i="37" s="1"/>
  <c r="H62" i="37"/>
  <c r="G62" i="37"/>
  <c r="F62" i="37"/>
  <c r="G61" i="37"/>
  <c r="H61" i="37" s="1"/>
  <c r="F61" i="37"/>
  <c r="G60" i="37"/>
  <c r="F60" i="37"/>
  <c r="H60" i="37" s="1"/>
  <c r="G59" i="37"/>
  <c r="F59" i="37"/>
  <c r="H59" i="37" s="1"/>
  <c r="H58" i="37"/>
  <c r="G58" i="37"/>
  <c r="F58" i="37"/>
  <c r="G57" i="37"/>
  <c r="H57" i="37" s="1"/>
  <c r="F57" i="37"/>
  <c r="G56" i="37"/>
  <c r="F56" i="37"/>
  <c r="H56" i="37" s="1"/>
  <c r="H49" i="37"/>
  <c r="G49" i="37"/>
  <c r="G47" i="37"/>
  <c r="H47" i="37" s="1"/>
  <c r="H45" i="37"/>
  <c r="G45" i="37"/>
  <c r="G44" i="37"/>
  <c r="H44" i="37" s="1"/>
  <c r="H43" i="37"/>
  <c r="G43" i="37"/>
  <c r="G42" i="37"/>
  <c r="H42" i="37" s="1"/>
  <c r="H40" i="37"/>
  <c r="G40" i="37"/>
  <c r="G39" i="37"/>
  <c r="H39" i="37" s="1"/>
  <c r="H37" i="37"/>
  <c r="G37" i="37"/>
  <c r="G34" i="37"/>
  <c r="H34" i="37" s="1"/>
  <c r="H33" i="37"/>
  <c r="G33" i="37"/>
  <c r="G31" i="37"/>
  <c r="H31" i="37" s="1"/>
  <c r="H30" i="37"/>
  <c r="G30" i="37"/>
  <c r="G29" i="37"/>
  <c r="H29" i="37" s="1"/>
  <c r="H28" i="37"/>
  <c r="G28" i="37"/>
  <c r="G26" i="37"/>
  <c r="H26" i="37" s="1"/>
  <c r="H25" i="37"/>
  <c r="G25" i="37"/>
  <c r="G23" i="37"/>
  <c r="H23" i="37" s="1"/>
  <c r="H21" i="37"/>
  <c r="G21" i="37"/>
  <c r="G20" i="37"/>
  <c r="H20" i="37" s="1"/>
  <c r="H19" i="37"/>
  <c r="G19" i="37"/>
  <c r="G17" i="37"/>
  <c r="H17" i="37" s="1"/>
  <c r="H16" i="37"/>
  <c r="G16" i="37"/>
  <c r="G15" i="37"/>
  <c r="H15" i="37" s="1"/>
  <c r="H14" i="37"/>
  <c r="G14" i="37"/>
  <c r="G13" i="37"/>
  <c r="H13" i="37" s="1"/>
  <c r="H12" i="37"/>
  <c r="G12" i="37"/>
  <c r="G11" i="37"/>
  <c r="H11" i="37" s="1"/>
  <c r="G22" i="3" l="1"/>
  <c r="G96" i="3"/>
  <c r="G93" i="3"/>
  <c r="G15" i="3"/>
  <c r="G100" i="3"/>
  <c r="G98" i="3"/>
  <c r="G94" i="3"/>
  <c r="G92" i="3"/>
  <c r="G87" i="3"/>
  <c r="G30" i="3"/>
  <c r="G102" i="3"/>
  <c r="G90" i="3"/>
  <c r="G26" i="3"/>
  <c r="G17" i="3"/>
  <c r="G16" i="3"/>
  <c r="G24" i="3"/>
  <c r="G107" i="3"/>
  <c r="G106" i="3"/>
  <c r="G105" i="3"/>
  <c r="G104" i="3"/>
  <c r="G99" i="3"/>
  <c r="G43" i="3"/>
  <c r="G28" i="3"/>
  <c r="G21" i="3"/>
  <c r="G20" i="3"/>
  <c r="G85" i="3"/>
  <c r="G84" i="3"/>
  <c r="G51" i="3"/>
  <c r="G50" i="3"/>
  <c r="G53" i="3"/>
  <c r="G52" i="3"/>
  <c r="G49" i="3"/>
  <c r="G48" i="3"/>
  <c r="G45" i="3"/>
  <c r="G46" i="3"/>
  <c r="G47" i="3"/>
  <c r="G39" i="3"/>
  <c r="G38" i="3"/>
  <c r="G19" i="3"/>
  <c r="G18" i="3"/>
  <c r="G69" i="3"/>
  <c r="G68" i="3"/>
  <c r="G78" i="3"/>
  <c r="G77" i="3"/>
  <c r="G76" i="3"/>
  <c r="G75" i="3"/>
  <c r="G74" i="3"/>
  <c r="G73" i="3"/>
  <c r="G72" i="3"/>
  <c r="G71" i="3"/>
  <c r="G35" i="3"/>
  <c r="G34" i="3"/>
  <c r="G66" i="3"/>
  <c r="G65" i="3"/>
  <c r="G13" i="3"/>
  <c r="G12" i="3"/>
  <c r="G82" i="3"/>
  <c r="G81" i="3"/>
  <c r="G80" i="3"/>
  <c r="G37" i="3"/>
  <c r="G36" i="3"/>
  <c r="N22" i="3" l="1"/>
  <c r="I22" i="3"/>
  <c r="G59" i="3" l="1"/>
  <c r="G23" i="3" l="1"/>
  <c r="H64" i="3" l="1"/>
  <c r="H51" i="3" l="1"/>
  <c r="H35" i="3" l="1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<sst xmlns="http://schemas.openxmlformats.org/spreadsheetml/2006/main" count="502" uniqueCount="316">
  <si>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</si>
  <si>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</si>
  <si>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</si>
  <si>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</si>
  <si>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</si>
  <si>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</si>
  <si>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</si>
  <si>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</si>
  <si>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</si>
  <si>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</si>
  <si>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</si>
  <si>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</si>
  <si>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</si>
  <si>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</si>
  <si>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</si>
  <si>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</si>
  <si>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</si>
  <si>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</si>
  <si>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</si>
  <si>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</si>
  <si>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</si>
  <si>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</si>
  <si>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</si>
  <si>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</si>
  <si>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</si>
  <si>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</si>
  <si>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</si>
  <si>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</si>
  <si>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</si>
  <si>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</si>
  <si>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</si>
  <si>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</si>
  <si>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</si>
  <si>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</si>
  <si>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</si>
  <si>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</si>
  <si>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</si>
  <si>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</si>
  <si>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</si>
  <si>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</si>
  <si>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</si>
  <si>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</si>
  <si>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</si>
  <si>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</si>
  <si>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</si>
  <si>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</si>
  <si>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</si>
  <si>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</si>
  <si>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</si>
  <si>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</si>
  <si>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</si>
  <si>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</si>
  <si>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</si>
  <si>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</si>
  <si>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</si>
  <si>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</si>
  <si>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</si>
  <si>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</si>
  <si>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</si>
  <si>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</si>
  <si>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</si>
  <si>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</si>
  <si>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</si>
  <si>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</si>
  <si>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</si>
  <si>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</si>
  <si>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</si>
  <si>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</si>
  <si>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</si>
  <si>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</si>
  <si>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</si>
  <si>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</si>
  <si>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</si>
  <si>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</si>
  <si>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</si>
  <si>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</si>
  <si>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</si>
  <si>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</si>
  <si>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</si>
  <si>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</si>
  <si>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</si>
  <si>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</si>
  <si>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</si>
  <si>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</si>
  <si>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</si>
  <si>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</si>
  <si>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</si>
  <si>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</si>
  <si>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</si>
  <si>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</si>
  <si>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</si>
  <si>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</si>
  <si>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</si>
  <si>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</si>
  <si>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</si>
  <si>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</si>
  <si>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</si>
  <si>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</si>
  <si>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</si>
  <si>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</si>
  <si>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</si>
  <si>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</si>
  <si>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</si>
  <si>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</si>
  <si>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</si>
  <si>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</si>
  <si>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</si>
  <si>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</si>
  <si>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</si>
  <si>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</si>
  <si>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</si>
  <si>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</si>
  <si>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</si>
  <si>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</si>
  <si>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</si>
  <si>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</si>
  <si>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</si>
  <si>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</si>
  <si>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</si>
  <si>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</si>
  <si>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</si>
  <si>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</si>
  <si>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</si>
  <si>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</si>
  <si>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</si>
  <si>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</si>
  <si>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</si>
  <si>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</si>
  <si>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</si>
  <si>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</si>
  <si>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</si>
  <si>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</si>
  <si>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</si>
  <si>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</si>
  <si>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</si>
  <si>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</si>
  <si>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</si>
  <si>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</si>
  <si>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</si>
  <si>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</si>
  <si>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</si>
  <si>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</si>
  <si>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</si>
  <si>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</si>
  <si>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</si>
  <si>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</si>
  <si>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</si>
  <si>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</si>
  <si>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</si>
  <si>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</si>
  <si>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</si>
  <si>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</si>
  <si>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</si>
  <si>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</si>
  <si>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</si>
  <si>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</si>
  <si>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</si>
  <si>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</si>
  <si>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</si>
  <si>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</si>
  <si>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</si>
  <si>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</si>
  <si>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</si>
  <si>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</si>
  <si>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</si>
  <si>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</si>
  <si>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</si>
  <si>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</si>
  <si>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</si>
  <si>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</si>
  <si>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</si>
  <si>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</si>
  <si>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</si>
  <si>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</si>
  <si>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</si>
  <si>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</si>
  <si>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</si>
  <si>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</si>
  <si>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</si>
  <si>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</si>
  <si>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</si>
  <si>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</si>
  <si>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</si>
  <si>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</si>
  <si>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</si>
  <si>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</si>
  <si>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</si>
  <si>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</si>
  <si>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</si>
  <si>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</si>
  <si>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</si>
  <si>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</si>
  <si>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</si>
  <si>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</si>
  <si>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</si>
  <si>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</si>
  <si>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</si>
  <si>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</si>
  <si>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</si>
  <si>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</si>
  <si>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</si>
  <si>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</si>
  <si>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</si>
  <si>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</si>
  <si>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</si>
  <si>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</si>
  <si>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</si>
  <si>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</si>
  <si>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</si>
  <si>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</si>
  <si>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</si>
  <si>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</si>
  <si>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</si>
  <si>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</si>
  <si>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</si>
  <si>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</si>
  <si>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</si>
  <si>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</si>
  <si>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</si>
  <si>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</si>
  <si>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</si>
  <si>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</si>
  <si>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</si>
  <si>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</si>
  <si>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</si>
  <si>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</si>
  <si>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</si>
  <si>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</si>
  <si>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</si>
  <si>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</si>
  <si>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</si>
  <si>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</si>
  <si>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</si>
  <si>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</si>
  <si>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</si>
  <si>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</si>
  <si>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</si>
  <si>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</si>
  <si>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</si>
  <si>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</si>
  <si>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</si>
  <si>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</si>
  <si>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</si>
  <si>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</si>
  <si>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</si>
  <si>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</si>
  <si>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</si>
  <si>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</si>
  <si>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</si>
  <si>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</si>
  <si>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</si>
  <si>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</si>
  <si>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</si>
  <si>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</si>
  <si>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</si>
  <si>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</si>
  <si>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</si>
  <si>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</si>
  <si>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</si>
  <si>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</si>
  <si>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</si>
  <si>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</si>
  <si>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</si>
  <si>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</si>
  <si>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</si>
  <si>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</si>
  <si>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</si>
  <si>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</si>
  <si>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</si>
  <si>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</si>
  <si>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</si>
  <si>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</si>
  <si>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</si>
  <si>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</si>
  <si>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</si>
  <si>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</si>
  <si>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</si>
  <si>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</si>
  <si>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</si>
  <si>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</si>
  <si>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</si>
  <si>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</si>
  <si>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</si>
  <si>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</si>
  <si>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</si>
  <si>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</si>
  <si>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</si>
  <si>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</si>
  <si>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</si>
  <si>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</si>
  <si>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</si>
  <si>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</si>
  <si>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</si>
  <si>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</si>
  <si>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</si>
  <si>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</si>
  <si>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</si>
  <si>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</si>
  <si>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</si>
  <si>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</si>
  <si>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</si>
  <si>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</si>
  <si>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</si>
  <si>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отпущено по 35кВ+ПО 6кВ</t>
  </si>
  <si>
    <t>35/6кВ Уш-Шокы</t>
  </si>
  <si>
    <t>35/10кВ Уш-Шокы</t>
  </si>
  <si>
    <t>35/0,4кВ Скважина №701</t>
  </si>
  <si>
    <t>вв.110+рез.вв.</t>
  </si>
  <si>
    <t>сравнивать на ПС Центральная</t>
  </si>
  <si>
    <t>дает KEGOC</t>
  </si>
  <si>
    <t>никаких минусов! Берем только по "200"</t>
  </si>
  <si>
    <t>брать по 35кВ (по расчету)</t>
  </si>
  <si>
    <t>Берем ввода 220кВ</t>
  </si>
  <si>
    <t>150 , 70</t>
  </si>
  <si>
    <t>за апрель 2025г.</t>
  </si>
  <si>
    <t>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</si>
</sst>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Cyr"/>
      <charset val="204"/>
    </font>
    <font>
      <u val="singleAccounting"/>
      <sz val="10"/>
      <color rgb="FFFF0000"/>
      <name val="Arial Cyr"/>
      <charset val="204"/>
    </font>
    <font>
      <u val="singleAccounting"/>
      <sz val="11"/>
      <color rgb="FF00B0F0"/>
      <name val="Calibri"/>
      <family val="2"/>
      <charset val="204"/>
    </font>
    <font>
      <sz val="10"/>
      <color rgb="FF00B0F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165" fontId="2" fillId="0" borderId="31" xfId="1" applyNumberFormat="1" applyFont="1" applyFill="1" applyBorder="1" applyAlignment="1">
      <alignment horizontal="right"/>
    </xf>
    <xf numFmtId="0" fontId="22" fillId="2" borderId="0" xfId="3" applyFont="1" applyFill="1"/>
    <xf numFmtId="0" fontId="4" fillId="2" borderId="24" xfId="3" applyFont="1" applyFill="1" applyBorder="1" applyAlignment="1">
      <alignment horizontal="left"/>
    </xf>
    <xf numFmtId="0" fontId="4" fillId="2" borderId="32" xfId="3" applyFont="1" applyFill="1" applyBorder="1"/>
    <xf numFmtId="0" fontId="23" fillId="2" borderId="0" xfId="3" applyFont="1" applyFill="1"/>
    <xf numFmtId="0" fontId="24" fillId="2" borderId="0" xfId="3" applyFont="1" applyFill="1"/>
    <xf numFmtId="0" fontId="25" fillId="2" borderId="8" xfId="3" applyFont="1" applyFill="1" applyBorder="1"/>
    <xf numFmtId="169" fontId="22" fillId="2" borderId="0" xfId="3" applyNumberFormat="1" applyFont="1" applyFill="1"/>
    <xf numFmtId="0" fontId="26" fillId="2" borderId="0" xfId="3" applyFont="1" applyFill="1"/>
    <xf numFmtId="169" fontId="13" fillId="2" borderId="0" xfId="3" applyNumberFormat="1" applyFont="1" applyFill="1"/>
    <xf numFmtId="166" fontId="27" fillId="2" borderId="0" xfId="1" applyNumberFormat="1" applyFont="1" applyFill="1"/>
    <xf numFmtId="166" fontId="22" fillId="2" borderId="0" xfId="1" applyNumberFormat="1" applyFont="1" applyFill="1"/>
    <xf numFmtId="166" fontId="28" fillId="2" borderId="0" xfId="1" applyNumberFormat="1" applyFont="1" applyFill="1"/>
    <xf numFmtId="0" fontId="29" fillId="2" borderId="0" xfId="3" applyFont="1" applyFill="1"/>
    <xf numFmtId="168" fontId="4" fillId="0" borderId="4" xfId="2" applyNumberFormat="1" applyFont="1" applyFill="1" applyBorder="1" applyAlignment="1">
      <alignment horizontal="right"/>
    </xf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C85" zoomScaleNormal="100" zoomScaleSheetLayoutView="135" workbookViewId="0">
      <selection activeCell="X98" sqref="X98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0.1093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4.5546875" style="76" hidden="1" customWidth="1"/>
    <col min="10" max="12" width="9.21875" style="76" hidden="1" customWidth="1"/>
    <col min="13" max="13" width="12.5546875" style="76" hidden="1" customWidth="1"/>
    <col min="14" max="14" width="13.88671875" style="76" hidden="1" customWidth="1"/>
    <col min="15" max="18" width="9.21875" style="76" hidden="1" customWidth="1"/>
    <col min="19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2"/>
      <c r="G1" s="180"/>
      <c r="H1" s="64" t="s">
        <v>125</v>
      </c>
      <c r="I1" s="75"/>
      <c r="R1" s="77" t="s">
        <v>126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127</v>
      </c>
      <c r="S2" s="78"/>
      <c r="T2" s="78"/>
    </row>
    <row r="3" spans="1:20" ht="18" x14ac:dyDescent="0.35">
      <c r="B3" s="64"/>
      <c r="C3" s="64"/>
      <c r="D3" s="64"/>
      <c r="E3" s="64"/>
      <c r="F3" s="152"/>
      <c r="G3" s="180"/>
      <c r="H3" s="64" t="s">
        <v>2</v>
      </c>
      <c r="I3" s="82"/>
      <c r="R3" s="77" t="s">
        <v>128</v>
      </c>
      <c r="S3" s="78"/>
      <c r="T3" s="78"/>
    </row>
    <row r="4" spans="1:20" ht="18" x14ac:dyDescent="0.35">
      <c r="A4" s="83"/>
      <c r="B4" s="83"/>
      <c r="C4" s="84"/>
      <c r="D4" s="84" t="s">
        <v>129</v>
      </c>
      <c r="E4" s="85"/>
      <c r="F4" s="83"/>
      <c r="G4" s="66"/>
      <c r="H4" s="66" t="s">
        <v>130</v>
      </c>
      <c r="I4" s="82"/>
      <c r="R4" s="77" t="s">
        <v>131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84" t="s">
        <v>314</v>
      </c>
      <c r="H5" s="184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132</v>
      </c>
      <c r="E6" s="90" t="s">
        <v>133</v>
      </c>
      <c r="F6" s="89" t="s">
        <v>134</v>
      </c>
      <c r="G6" s="185" t="s">
        <v>135</v>
      </c>
      <c r="H6" s="90" t="s">
        <v>136</v>
      </c>
      <c r="R6" s="77" t="s">
        <v>137</v>
      </c>
      <c r="S6" s="78"/>
      <c r="T6" s="78"/>
    </row>
    <row r="7" spans="1:20" x14ac:dyDescent="0.3">
      <c r="A7" s="91" t="s">
        <v>138</v>
      </c>
      <c r="B7" s="92" t="s">
        <v>139</v>
      </c>
      <c r="C7" s="92" t="s">
        <v>6</v>
      </c>
      <c r="D7" s="92" t="s">
        <v>140</v>
      </c>
      <c r="E7" s="93" t="s">
        <v>141</v>
      </c>
      <c r="F7" s="92" t="s">
        <v>142</v>
      </c>
      <c r="G7" s="186"/>
      <c r="H7" s="93" t="s">
        <v>143</v>
      </c>
    </row>
    <row r="8" spans="1:20" ht="16.2" thickBot="1" x14ac:dyDescent="0.35">
      <c r="A8" s="94"/>
      <c r="B8" s="95"/>
      <c r="C8" s="95"/>
      <c r="D8" s="95"/>
      <c r="E8" s="67" t="s">
        <v>144</v>
      </c>
      <c r="F8" s="96" t="s">
        <v>145</v>
      </c>
      <c r="G8" s="67" t="s">
        <v>146</v>
      </c>
      <c r="H8" s="67" t="s">
        <v>146</v>
      </c>
    </row>
    <row r="9" spans="1:20" x14ac:dyDescent="0.3">
      <c r="A9" s="97"/>
      <c r="B9" s="98" t="s">
        <v>292</v>
      </c>
      <c r="C9" s="98"/>
      <c r="D9" s="98"/>
      <c r="E9" s="99"/>
      <c r="F9" s="98"/>
      <c r="G9" s="175"/>
      <c r="H9" s="100">
        <v>720</v>
      </c>
    </row>
    <row r="10" spans="1:20" x14ac:dyDescent="0.3">
      <c r="A10" s="101" t="s">
        <v>147</v>
      </c>
      <c r="B10" s="102" t="s">
        <v>148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149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150</v>
      </c>
      <c r="B12" s="104" t="s">
        <v>151</v>
      </c>
      <c r="C12" s="107" t="s">
        <v>152</v>
      </c>
      <c r="D12" s="107"/>
      <c r="E12" s="68" t="s">
        <v>153</v>
      </c>
      <c r="F12" s="68">
        <v>63000</v>
      </c>
      <c r="G12" s="176">
        <f>(7759488+95460)/H9/1000</f>
        <v>10.909649999999999</v>
      </c>
      <c r="H12" s="108">
        <f>F12/1000-G12</f>
        <v>52.090350000000001</v>
      </c>
      <c r="I12" s="109"/>
      <c r="N12" s="110"/>
    </row>
    <row r="13" spans="1:20" x14ac:dyDescent="0.3">
      <c r="A13" s="69"/>
      <c r="B13" s="104"/>
      <c r="C13" s="107" t="s">
        <v>154</v>
      </c>
      <c r="D13" s="107"/>
      <c r="E13" s="68" t="s">
        <v>155</v>
      </c>
      <c r="F13" s="68">
        <v>63000</v>
      </c>
      <c r="G13" s="176">
        <f>(7716060+196440)/H9/1000</f>
        <v>10.989583333333334</v>
      </c>
      <c r="H13" s="108">
        <f>F13/1000-G13</f>
        <v>52.010416666666664</v>
      </c>
      <c r="I13" s="109"/>
      <c r="N13" s="110"/>
    </row>
    <row r="14" spans="1:20" x14ac:dyDescent="0.3">
      <c r="A14" s="69"/>
      <c r="B14" s="106" t="s">
        <v>156</v>
      </c>
      <c r="C14" s="106"/>
      <c r="D14" s="106"/>
      <c r="E14" s="68"/>
      <c r="F14" s="68"/>
      <c r="G14" s="176"/>
      <c r="H14" s="108"/>
      <c r="I14" s="109"/>
      <c r="N14" s="110"/>
    </row>
    <row r="15" spans="1:20" x14ac:dyDescent="0.3">
      <c r="A15" s="69" t="s">
        <v>157</v>
      </c>
      <c r="B15" s="104" t="s">
        <v>158</v>
      </c>
      <c r="C15" s="104"/>
      <c r="D15" s="104"/>
      <c r="E15" s="68" t="s">
        <v>159</v>
      </c>
      <c r="F15" s="68">
        <v>6300</v>
      </c>
      <c r="G15" s="176">
        <f>193490/H9/1000</f>
        <v>0.26873611111111106</v>
      </c>
      <c r="H15" s="108">
        <f t="shared" ref="H15:H21" si="0">F15/1000-G15</f>
        <v>6.0312638888888888</v>
      </c>
      <c r="I15" s="109"/>
      <c r="N15" s="110"/>
    </row>
    <row r="16" spans="1:20" x14ac:dyDescent="0.3">
      <c r="A16" s="69" t="s">
        <v>160</v>
      </c>
      <c r="B16" s="104" t="s">
        <v>161</v>
      </c>
      <c r="C16" s="104" t="s">
        <v>162</v>
      </c>
      <c r="D16" s="104"/>
      <c r="E16" s="111">
        <v>11.1</v>
      </c>
      <c r="F16" s="68">
        <v>16000</v>
      </c>
      <c r="G16" s="176">
        <f>391500/H9/1000</f>
        <v>0.54374999999999996</v>
      </c>
      <c r="H16" s="108">
        <f t="shared" si="0"/>
        <v>15.456250000000001</v>
      </c>
      <c r="I16" s="109"/>
      <c r="N16" s="110"/>
    </row>
    <row r="17" spans="1:20" x14ac:dyDescent="0.3">
      <c r="A17" s="69"/>
      <c r="B17" s="104"/>
      <c r="C17" s="104" t="s">
        <v>163</v>
      </c>
      <c r="D17" s="104"/>
      <c r="E17" s="111">
        <v>11.1</v>
      </c>
      <c r="F17" s="68">
        <v>16000</v>
      </c>
      <c r="G17" s="176">
        <f>205737/H9/1000</f>
        <v>0.28574583333333331</v>
      </c>
      <c r="H17" s="108">
        <f t="shared" si="0"/>
        <v>15.714254166666667</v>
      </c>
      <c r="I17" s="109"/>
      <c r="N17" s="110"/>
    </row>
    <row r="18" spans="1:20" x14ac:dyDescent="0.3">
      <c r="A18" s="69" t="s">
        <v>164</v>
      </c>
      <c r="B18" s="104" t="s">
        <v>165</v>
      </c>
      <c r="C18" s="104" t="s">
        <v>162</v>
      </c>
      <c r="D18" s="104"/>
      <c r="E18" s="68" t="s">
        <v>166</v>
      </c>
      <c r="F18" s="68">
        <v>16000</v>
      </c>
      <c r="G18" s="176">
        <f>186912/H9/1000</f>
        <v>0.2596</v>
      </c>
      <c r="H18" s="108">
        <f t="shared" si="0"/>
        <v>15.740399999999999</v>
      </c>
      <c r="I18" s="109"/>
      <c r="N18" s="110"/>
    </row>
    <row r="19" spans="1:20" x14ac:dyDescent="0.3">
      <c r="A19" s="69"/>
      <c r="B19" s="104"/>
      <c r="C19" s="104" t="s">
        <v>163</v>
      </c>
      <c r="D19" s="104"/>
      <c r="E19" s="68" t="s">
        <v>167</v>
      </c>
      <c r="F19" s="68">
        <v>16000</v>
      </c>
      <c r="G19" s="176">
        <f>375336/H9/1000</f>
        <v>0.52129999999999999</v>
      </c>
      <c r="H19" s="108">
        <f t="shared" si="0"/>
        <v>15.4787</v>
      </c>
      <c r="I19" s="109"/>
      <c r="N19" s="110"/>
    </row>
    <row r="20" spans="1:20" x14ac:dyDescent="0.3">
      <c r="A20" s="69" t="s">
        <v>168</v>
      </c>
      <c r="B20" s="104" t="s">
        <v>169</v>
      </c>
      <c r="C20" s="104" t="s">
        <v>162</v>
      </c>
      <c r="D20" s="104"/>
      <c r="E20" s="68" t="s">
        <v>170</v>
      </c>
      <c r="F20" s="68">
        <v>40000</v>
      </c>
      <c r="G20" s="176">
        <f>1473560/H9/1000</f>
        <v>2.0466111111111109</v>
      </c>
      <c r="H20" s="108">
        <f t="shared" si="0"/>
        <v>37.953388888888888</v>
      </c>
      <c r="I20" s="109"/>
      <c r="N20" s="110"/>
    </row>
    <row r="21" spans="1:20" x14ac:dyDescent="0.3">
      <c r="A21" s="69"/>
      <c r="B21" s="104"/>
      <c r="C21" s="104" t="s">
        <v>163</v>
      </c>
      <c r="D21" s="104"/>
      <c r="E21" s="68" t="s">
        <v>171</v>
      </c>
      <c r="F21" s="68">
        <v>40000</v>
      </c>
      <c r="G21" s="176">
        <f>732336/H9/1000</f>
        <v>1.0171333333333332</v>
      </c>
      <c r="H21" s="108">
        <f t="shared" si="0"/>
        <v>38.982866666666666</v>
      </c>
      <c r="I21" s="167"/>
      <c r="J21" s="161"/>
      <c r="K21" s="161"/>
      <c r="L21" s="161"/>
      <c r="M21" s="168" t="s">
        <v>308</v>
      </c>
      <c r="N21" s="169"/>
      <c r="O21" s="161"/>
      <c r="P21" s="161"/>
      <c r="Q21" s="161"/>
      <c r="R21" s="161"/>
      <c r="S21" s="161"/>
      <c r="T21" s="161"/>
    </row>
    <row r="22" spans="1:20" ht="17.399999999999999" x14ac:dyDescent="0.45">
      <c r="A22" s="69" t="s">
        <v>175</v>
      </c>
      <c r="B22" s="104" t="s">
        <v>176</v>
      </c>
      <c r="C22" s="104"/>
      <c r="D22" s="104"/>
      <c r="E22" s="68" t="s">
        <v>177</v>
      </c>
      <c r="F22" s="68">
        <v>10000</v>
      </c>
      <c r="G22" s="176">
        <f>(780032+416976)/H9/1000</f>
        <v>1.6625111111111113</v>
      </c>
      <c r="H22" s="108">
        <f>F22/1000-G22</f>
        <v>8.3374888888888883</v>
      </c>
      <c r="I22" s="170">
        <f>882994+321783</f>
        <v>1204777</v>
      </c>
      <c r="J22" s="171"/>
      <c r="K22" s="171"/>
      <c r="L22" s="171"/>
      <c r="M22" s="171" t="s">
        <v>307</v>
      </c>
      <c r="N22" s="172">
        <f>1190287+92437</f>
        <v>1282724</v>
      </c>
      <c r="O22" s="173" t="s">
        <v>303</v>
      </c>
      <c r="P22" s="173"/>
      <c r="Q22" s="173"/>
      <c r="R22" s="173"/>
      <c r="S22" s="173"/>
      <c r="T22" s="173"/>
    </row>
    <row r="23" spans="1:20" hidden="1" x14ac:dyDescent="0.3">
      <c r="A23" s="69"/>
      <c r="B23" s="104"/>
      <c r="C23" s="104"/>
      <c r="D23" s="104"/>
      <c r="E23" s="68" t="s">
        <v>173</v>
      </c>
      <c r="F23" s="68">
        <v>2500</v>
      </c>
      <c r="G23" s="176">
        <f>(0+0-0)/H9/1000</f>
        <v>0</v>
      </c>
      <c r="H23" s="108">
        <f>F23/1000-G23</f>
        <v>2.5</v>
      </c>
      <c r="I23" s="109"/>
      <c r="N23" s="110"/>
    </row>
    <row r="24" spans="1:20" x14ac:dyDescent="0.3">
      <c r="A24" s="69" t="s">
        <v>178</v>
      </c>
      <c r="B24" s="104" t="s">
        <v>179</v>
      </c>
      <c r="C24" s="104"/>
      <c r="D24" s="104"/>
      <c r="E24" s="68" t="s">
        <v>180</v>
      </c>
      <c r="F24" s="68">
        <v>6300</v>
      </c>
      <c r="G24" s="176">
        <f>733656/H9/1000</f>
        <v>1.0189666666666668</v>
      </c>
      <c r="H24" s="108">
        <f>F24/1000-G24</f>
        <v>5.2810333333333332</v>
      </c>
      <c r="I24" s="109"/>
      <c r="N24" s="110"/>
    </row>
    <row r="25" spans="1:20" x14ac:dyDescent="0.3">
      <c r="A25" s="69"/>
      <c r="B25" s="106" t="s">
        <v>181</v>
      </c>
      <c r="C25" s="106"/>
      <c r="D25" s="106"/>
      <c r="E25" s="68"/>
      <c r="F25" s="68"/>
      <c r="G25" s="176"/>
      <c r="H25" s="108"/>
      <c r="I25" s="109"/>
      <c r="N25" s="110"/>
    </row>
    <row r="26" spans="1:20" x14ac:dyDescent="0.3">
      <c r="A26" s="69" t="s">
        <v>182</v>
      </c>
      <c r="B26" s="104" t="s">
        <v>183</v>
      </c>
      <c r="C26" s="104" t="s">
        <v>162</v>
      </c>
      <c r="D26" s="104"/>
      <c r="E26" s="111" t="s">
        <v>184</v>
      </c>
      <c r="F26" s="68">
        <v>1000</v>
      </c>
      <c r="G26" s="176">
        <f>114582/H9/1000</f>
        <v>0.15914166666666668</v>
      </c>
      <c r="H26" s="108">
        <f>F26/1000-G26</f>
        <v>0.84085833333333326</v>
      </c>
      <c r="I26" s="109"/>
      <c r="N26" s="110"/>
    </row>
    <row r="27" spans="1:20" x14ac:dyDescent="0.3">
      <c r="A27" s="69"/>
      <c r="B27" s="104"/>
      <c r="C27" s="104" t="s">
        <v>163</v>
      </c>
      <c r="D27" s="104"/>
      <c r="E27" s="68" t="s">
        <v>173</v>
      </c>
      <c r="F27" s="68">
        <v>6300</v>
      </c>
      <c r="G27" s="176" t="s">
        <v>174</v>
      </c>
      <c r="H27" s="108"/>
      <c r="I27" s="109"/>
      <c r="N27" s="110"/>
    </row>
    <row r="28" spans="1:20" x14ac:dyDescent="0.3">
      <c r="A28" s="69" t="s">
        <v>185</v>
      </c>
      <c r="B28" s="104" t="s">
        <v>186</v>
      </c>
      <c r="C28" s="104"/>
      <c r="D28" s="104"/>
      <c r="E28" s="111" t="s">
        <v>184</v>
      </c>
      <c r="F28" s="68">
        <v>1000</v>
      </c>
      <c r="G28" s="176">
        <f>22735/H9/1000</f>
        <v>3.157638888888889E-2</v>
      </c>
      <c r="H28" s="108">
        <f>F28/1000-G28</f>
        <v>0.96842361111111108</v>
      </c>
      <c r="I28" s="167" t="s">
        <v>311</v>
      </c>
      <c r="N28" s="110"/>
    </row>
    <row r="29" spans="1:20" x14ac:dyDescent="0.3">
      <c r="A29" s="69" t="s">
        <v>187</v>
      </c>
      <c r="B29" s="104" t="s">
        <v>188</v>
      </c>
      <c r="C29" s="104"/>
      <c r="D29" s="104"/>
      <c r="E29" s="111" t="s">
        <v>184</v>
      </c>
      <c r="F29" s="68">
        <v>1000</v>
      </c>
      <c r="G29" s="176">
        <v>0</v>
      </c>
      <c r="H29" s="108">
        <f>F29/1000-G29</f>
        <v>1</v>
      </c>
      <c r="I29" s="109"/>
      <c r="N29" s="110"/>
    </row>
    <row r="30" spans="1:20" x14ac:dyDescent="0.3">
      <c r="A30" s="69" t="s">
        <v>191</v>
      </c>
      <c r="B30" s="104" t="s">
        <v>296</v>
      </c>
      <c r="C30" s="104"/>
      <c r="D30" s="104"/>
      <c r="E30" s="68" t="s">
        <v>297</v>
      </c>
      <c r="F30" s="68">
        <v>4000</v>
      </c>
      <c r="G30" s="176">
        <f>32256/H9/1000</f>
        <v>4.48E-2</v>
      </c>
      <c r="H30" s="108">
        <f>F30/1000-G30</f>
        <v>3.9552</v>
      </c>
      <c r="I30" s="109"/>
      <c r="N30" s="110"/>
    </row>
    <row r="31" spans="1:20" hidden="1" x14ac:dyDescent="0.3">
      <c r="A31" s="69"/>
      <c r="B31" s="104"/>
      <c r="C31" s="104" t="s">
        <v>163</v>
      </c>
      <c r="D31" s="104"/>
      <c r="E31" s="68" t="s">
        <v>173</v>
      </c>
      <c r="F31" s="68">
        <v>6300</v>
      </c>
      <c r="G31" s="176" t="s">
        <v>174</v>
      </c>
      <c r="H31" s="108"/>
      <c r="I31" s="109"/>
      <c r="N31" s="110"/>
    </row>
    <row r="32" spans="1:20" x14ac:dyDescent="0.3">
      <c r="A32" s="101" t="s">
        <v>189</v>
      </c>
      <c r="B32" s="102" t="s">
        <v>190</v>
      </c>
      <c r="C32" s="102"/>
      <c r="D32" s="102"/>
      <c r="E32" s="68"/>
      <c r="F32" s="68"/>
      <c r="G32" s="176"/>
      <c r="H32" s="108"/>
      <c r="I32" s="109"/>
      <c r="N32" s="110"/>
    </row>
    <row r="33" spans="1:14" x14ac:dyDescent="0.3">
      <c r="A33" s="101"/>
      <c r="B33" s="106" t="s">
        <v>149</v>
      </c>
      <c r="C33" s="106"/>
      <c r="D33" s="106"/>
      <c r="E33" s="68"/>
      <c r="F33" s="68"/>
      <c r="G33" s="176"/>
      <c r="H33" s="108"/>
      <c r="I33" s="109"/>
      <c r="N33" s="110"/>
    </row>
    <row r="34" spans="1:14" x14ac:dyDescent="0.3">
      <c r="A34" s="69" t="s">
        <v>195</v>
      </c>
      <c r="B34" s="104" t="s">
        <v>192</v>
      </c>
      <c r="C34" s="104" t="s">
        <v>162</v>
      </c>
      <c r="D34" s="166"/>
      <c r="E34" s="68" t="s">
        <v>193</v>
      </c>
      <c r="F34" s="68">
        <v>25000</v>
      </c>
      <c r="G34" s="176">
        <f>2437776/H9/1000</f>
        <v>3.3858000000000001</v>
      </c>
      <c r="H34" s="108">
        <f>F34/1000-G34</f>
        <v>21.6142</v>
      </c>
      <c r="I34" s="167" t="s">
        <v>312</v>
      </c>
      <c r="N34" s="110"/>
    </row>
    <row r="35" spans="1:14" x14ac:dyDescent="0.3">
      <c r="A35" s="69"/>
      <c r="B35" s="68"/>
      <c r="C35" s="104" t="s">
        <v>163</v>
      </c>
      <c r="D35" s="166"/>
      <c r="E35" s="68" t="s">
        <v>194</v>
      </c>
      <c r="F35" s="68">
        <v>25000</v>
      </c>
      <c r="G35" s="176">
        <f>4043688/H9/1000</f>
        <v>5.6162333333333336</v>
      </c>
      <c r="H35" s="108">
        <f>F35/1000-G35</f>
        <v>19.383766666666666</v>
      </c>
      <c r="I35" s="109"/>
      <c r="N35" s="110"/>
    </row>
    <row r="36" spans="1:14" x14ac:dyDescent="0.3">
      <c r="A36" s="69" t="s">
        <v>199</v>
      </c>
      <c r="B36" s="104" t="s">
        <v>196</v>
      </c>
      <c r="C36" s="104" t="s">
        <v>162</v>
      </c>
      <c r="D36" s="104"/>
      <c r="E36" s="68" t="s">
        <v>197</v>
      </c>
      <c r="F36" s="68">
        <v>40000</v>
      </c>
      <c r="G36" s="176">
        <f>3193344/H9/1000</f>
        <v>4.4352</v>
      </c>
      <c r="H36" s="108">
        <f t="shared" ref="H36:H41" si="1">F36/1000-G36</f>
        <v>35.564799999999998</v>
      </c>
      <c r="I36" s="109"/>
      <c r="N36" s="110"/>
    </row>
    <row r="37" spans="1:14" x14ac:dyDescent="0.3">
      <c r="A37" s="69"/>
      <c r="B37" s="68"/>
      <c r="C37" s="104" t="s">
        <v>163</v>
      </c>
      <c r="D37" s="104"/>
      <c r="E37" s="68" t="s">
        <v>198</v>
      </c>
      <c r="F37" s="68">
        <v>40000</v>
      </c>
      <c r="G37" s="176">
        <f>2846448/H9/1000</f>
        <v>3.9534000000000002</v>
      </c>
      <c r="H37" s="108">
        <f t="shared" si="1"/>
        <v>36.046599999999998</v>
      </c>
      <c r="I37" s="109"/>
      <c r="N37" s="110"/>
    </row>
    <row r="38" spans="1:14" x14ac:dyDescent="0.3">
      <c r="A38" s="69" t="s">
        <v>209</v>
      </c>
      <c r="B38" s="104" t="s">
        <v>200</v>
      </c>
      <c r="C38" s="104" t="s">
        <v>162</v>
      </c>
      <c r="D38" s="104"/>
      <c r="E38" s="68" t="s">
        <v>201</v>
      </c>
      <c r="F38" s="68">
        <v>20000</v>
      </c>
      <c r="G38" s="176">
        <f>5737776/H9/1000</f>
        <v>7.9691333333333336</v>
      </c>
      <c r="H38" s="108">
        <f t="shared" si="1"/>
        <v>12.030866666666666</v>
      </c>
      <c r="I38" s="109"/>
      <c r="N38" s="110"/>
    </row>
    <row r="39" spans="1:14" x14ac:dyDescent="0.3">
      <c r="A39" s="69"/>
      <c r="B39" s="68"/>
      <c r="C39" s="104" t="s">
        <v>163</v>
      </c>
      <c r="D39" s="104"/>
      <c r="E39" s="68" t="s">
        <v>202</v>
      </c>
      <c r="F39" s="68">
        <v>20000</v>
      </c>
      <c r="G39" s="176">
        <f>2676256/H9/1000</f>
        <v>3.7170222222222224</v>
      </c>
      <c r="H39" s="108">
        <f t="shared" si="1"/>
        <v>16.282977777777777</v>
      </c>
      <c r="I39" s="109"/>
      <c r="N39" s="110"/>
    </row>
    <row r="40" spans="1:14" x14ac:dyDescent="0.3">
      <c r="A40" s="101"/>
      <c r="B40" s="104" t="s">
        <v>203</v>
      </c>
      <c r="C40" s="104" t="s">
        <v>204</v>
      </c>
      <c r="D40" s="104" t="s">
        <v>173</v>
      </c>
      <c r="E40" s="68" t="s">
        <v>205</v>
      </c>
      <c r="F40" s="68">
        <v>10000</v>
      </c>
      <c r="G40" s="176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203</v>
      </c>
      <c r="C41" s="104" t="s">
        <v>206</v>
      </c>
      <c r="D41" s="104" t="s">
        <v>173</v>
      </c>
      <c r="E41" s="68" t="s">
        <v>207</v>
      </c>
      <c r="F41" s="68">
        <v>10000</v>
      </c>
      <c r="G41" s="176">
        <f>21/H9/1000</f>
        <v>2.9166666666666666E-5</v>
      </c>
      <c r="H41" s="108">
        <f t="shared" si="1"/>
        <v>9.9999708333333341</v>
      </c>
      <c r="I41" s="109"/>
      <c r="N41" s="110"/>
    </row>
    <row r="42" spans="1:14" x14ac:dyDescent="0.3">
      <c r="A42" s="69"/>
      <c r="B42" s="106" t="s">
        <v>208</v>
      </c>
      <c r="C42" s="106"/>
      <c r="D42" s="106"/>
      <c r="E42" s="68"/>
      <c r="F42" s="68"/>
      <c r="G42" s="176"/>
      <c r="H42" s="108"/>
      <c r="I42" s="109"/>
      <c r="N42" s="110"/>
    </row>
    <row r="43" spans="1:14" x14ac:dyDescent="0.3">
      <c r="A43" s="69" t="s">
        <v>210</v>
      </c>
      <c r="B43" s="104" t="s">
        <v>300</v>
      </c>
      <c r="C43" s="104"/>
      <c r="D43" s="104"/>
      <c r="E43" s="68" t="s">
        <v>299</v>
      </c>
      <c r="F43" s="68">
        <v>2500</v>
      </c>
      <c r="G43" s="176">
        <f>208736/H9/1000</f>
        <v>0.28991111111111112</v>
      </c>
      <c r="H43" s="108">
        <f>F43/1000-G43</f>
        <v>2.210088888888889</v>
      </c>
      <c r="I43" s="109"/>
      <c r="J43" s="76" t="s">
        <v>211</v>
      </c>
      <c r="L43" s="112"/>
      <c r="N43" s="110"/>
    </row>
    <row r="44" spans="1:14" x14ac:dyDescent="0.3">
      <c r="A44" s="69"/>
      <c r="B44" s="106" t="s">
        <v>181</v>
      </c>
      <c r="C44" s="106"/>
      <c r="D44" s="106"/>
      <c r="E44" s="68"/>
      <c r="F44" s="68"/>
      <c r="G44" s="176"/>
      <c r="H44" s="108"/>
      <c r="I44" s="109"/>
      <c r="N44" s="110"/>
    </row>
    <row r="45" spans="1:14" x14ac:dyDescent="0.3">
      <c r="A45" s="69" t="s">
        <v>212</v>
      </c>
      <c r="B45" s="104" t="s">
        <v>298</v>
      </c>
      <c r="C45" s="104"/>
      <c r="D45" s="104"/>
      <c r="E45" s="68" t="s">
        <v>301</v>
      </c>
      <c r="F45" s="68">
        <v>6300</v>
      </c>
      <c r="G45" s="176">
        <f>965718/H9/1000</f>
        <v>1.341275</v>
      </c>
      <c r="H45" s="108">
        <f>F45/1000-G45</f>
        <v>4.9587249999999994</v>
      </c>
      <c r="I45" s="109"/>
      <c r="N45" s="110"/>
    </row>
    <row r="46" spans="1:14" x14ac:dyDescent="0.3">
      <c r="A46" s="69" t="s">
        <v>215</v>
      </c>
      <c r="B46" s="104" t="s">
        <v>213</v>
      </c>
      <c r="C46" s="104"/>
      <c r="D46" s="104"/>
      <c r="E46" s="68" t="s">
        <v>214</v>
      </c>
      <c r="F46" s="68">
        <v>2500</v>
      </c>
      <c r="G46" s="176">
        <f>7104/H9/1000</f>
        <v>9.8666666666666677E-3</v>
      </c>
      <c r="H46" s="108">
        <f t="shared" ref="H46:H53" si="2">F46/1000-G46</f>
        <v>2.4901333333333335</v>
      </c>
      <c r="I46" s="109"/>
      <c r="N46" s="110"/>
    </row>
    <row r="47" spans="1:14" x14ac:dyDescent="0.3">
      <c r="A47" s="69" t="s">
        <v>218</v>
      </c>
      <c r="B47" s="104" t="s">
        <v>216</v>
      </c>
      <c r="C47" s="104"/>
      <c r="D47" s="104"/>
      <c r="E47" s="68" t="s">
        <v>217</v>
      </c>
      <c r="F47" s="68">
        <v>6300</v>
      </c>
      <c r="G47" s="176">
        <f>312725/H9/1000</f>
        <v>0.43434027777777778</v>
      </c>
      <c r="H47" s="108">
        <f t="shared" si="2"/>
        <v>5.8656597222222224</v>
      </c>
      <c r="I47" s="109"/>
      <c r="N47" s="110"/>
    </row>
    <row r="48" spans="1:14" x14ac:dyDescent="0.3">
      <c r="A48" s="69" t="s">
        <v>221</v>
      </c>
      <c r="B48" s="104" t="s">
        <v>219</v>
      </c>
      <c r="C48" s="104" t="s">
        <v>162</v>
      </c>
      <c r="D48" s="104"/>
      <c r="E48" s="68" t="s">
        <v>173</v>
      </c>
      <c r="F48" s="68">
        <v>2500</v>
      </c>
      <c r="G48" s="176">
        <f>2800/H9/1000</f>
        <v>3.8888888888888888E-3</v>
      </c>
      <c r="H48" s="108">
        <f t="shared" si="2"/>
        <v>2.4961111111111109</v>
      </c>
      <c r="I48" s="109"/>
      <c r="N48" s="110"/>
    </row>
    <row r="49" spans="1:14" x14ac:dyDescent="0.3">
      <c r="A49" s="69"/>
      <c r="B49" s="104"/>
      <c r="C49" s="104" t="s">
        <v>163</v>
      </c>
      <c r="D49" s="104"/>
      <c r="E49" s="68" t="s">
        <v>220</v>
      </c>
      <c r="F49" s="68">
        <v>2500</v>
      </c>
      <c r="G49" s="176">
        <f>363728/H9/1000</f>
        <v>0.50517777777777784</v>
      </c>
      <c r="H49" s="108">
        <f t="shared" si="2"/>
        <v>1.9948222222222221</v>
      </c>
      <c r="I49" s="109"/>
      <c r="N49" s="110"/>
    </row>
    <row r="50" spans="1:14" x14ac:dyDescent="0.3">
      <c r="A50" s="69" t="s">
        <v>222</v>
      </c>
      <c r="B50" s="104" t="s">
        <v>304</v>
      </c>
      <c r="C50" s="104" t="s">
        <v>162</v>
      </c>
      <c r="D50" s="104"/>
      <c r="E50" s="68">
        <v>6.62</v>
      </c>
      <c r="F50" s="68">
        <v>4000</v>
      </c>
      <c r="G50" s="176">
        <f>275040/H9/1000</f>
        <v>0.38200000000000001</v>
      </c>
      <c r="H50" s="108">
        <f t="shared" si="2"/>
        <v>3.6179999999999999</v>
      </c>
      <c r="I50" s="109"/>
      <c r="N50" s="110"/>
    </row>
    <row r="51" spans="1:14" x14ac:dyDescent="0.3">
      <c r="A51" s="113"/>
      <c r="B51" s="104" t="s">
        <v>305</v>
      </c>
      <c r="C51" s="104" t="s">
        <v>163</v>
      </c>
      <c r="D51" s="104"/>
      <c r="E51" s="68">
        <v>11.1</v>
      </c>
      <c r="F51" s="68">
        <v>1600</v>
      </c>
      <c r="G51" s="176">
        <f>376000/H9/1000</f>
        <v>0.52222222222222214</v>
      </c>
      <c r="H51" s="108">
        <f>F51/1000-G51</f>
        <v>1.0777777777777779</v>
      </c>
      <c r="I51" s="109"/>
      <c r="N51" s="110"/>
    </row>
    <row r="52" spans="1:14" x14ac:dyDescent="0.3">
      <c r="A52" s="69" t="s">
        <v>224</v>
      </c>
      <c r="B52" s="103" t="s">
        <v>223</v>
      </c>
      <c r="C52" s="104"/>
      <c r="D52" s="104"/>
      <c r="E52" s="68">
        <v>0.4</v>
      </c>
      <c r="F52" s="68">
        <v>250</v>
      </c>
      <c r="G52" s="176">
        <f>(15449)/H9/1000</f>
        <v>2.1456944444444445E-2</v>
      </c>
      <c r="H52" s="108">
        <f t="shared" si="2"/>
        <v>0.22854305555555554</v>
      </c>
      <c r="I52" s="109"/>
      <c r="N52" s="110"/>
    </row>
    <row r="53" spans="1:14" x14ac:dyDescent="0.3">
      <c r="A53" s="163" t="s">
        <v>302</v>
      </c>
      <c r="B53" s="162" t="s">
        <v>306</v>
      </c>
      <c r="C53" s="115"/>
      <c r="D53" s="115"/>
      <c r="E53" s="116">
        <v>0.4</v>
      </c>
      <c r="F53" s="116">
        <v>250</v>
      </c>
      <c r="G53" s="177">
        <f>(5398)/H9/1000</f>
        <v>7.497222222222222E-3</v>
      </c>
      <c r="H53" s="117">
        <f t="shared" si="2"/>
        <v>0.24250277777777779</v>
      </c>
      <c r="I53" s="109"/>
      <c r="N53" s="110"/>
    </row>
    <row r="54" spans="1:14" x14ac:dyDescent="0.3">
      <c r="A54" s="83"/>
      <c r="B54" s="118"/>
      <c r="C54" s="83"/>
      <c r="D54" s="83"/>
      <c r="E54" s="85"/>
      <c r="F54" s="85"/>
      <c r="G54" s="178"/>
      <c r="H54" s="119"/>
      <c r="I54" s="109"/>
      <c r="N54" s="110"/>
    </row>
    <row r="55" spans="1:14" x14ac:dyDescent="0.3">
      <c r="A55" s="83"/>
      <c r="B55" s="118"/>
      <c r="C55" s="83"/>
      <c r="D55" s="83"/>
      <c r="E55" s="85"/>
      <c r="F55" s="85"/>
      <c r="G55" s="178"/>
      <c r="H55" s="119"/>
      <c r="I55" s="109"/>
      <c r="N55" s="110"/>
    </row>
    <row r="56" spans="1:14" x14ac:dyDescent="0.3">
      <c r="C56" s="120"/>
      <c r="E56" s="120"/>
      <c r="H56" s="70"/>
    </row>
    <row r="57" spans="1:14" ht="18" x14ac:dyDescent="0.35">
      <c r="C57" s="121"/>
      <c r="D57" s="122"/>
      <c r="E57" s="120"/>
      <c r="G57" s="187" t="s">
        <v>225</v>
      </c>
      <c r="H57" s="187"/>
    </row>
    <row r="58" spans="1:14" x14ac:dyDescent="0.3">
      <c r="B58" s="188" t="s">
        <v>226</v>
      </c>
      <c r="C58" s="189"/>
      <c r="D58" s="189"/>
      <c r="E58" s="189"/>
      <c r="F58" s="189"/>
      <c r="G58" s="189"/>
      <c r="H58" s="189"/>
    </row>
    <row r="59" spans="1:14" ht="18" x14ac:dyDescent="0.35">
      <c r="B59" s="123"/>
      <c r="C59" s="124"/>
      <c r="D59" s="123" t="s">
        <v>227</v>
      </c>
      <c r="E59" s="120"/>
      <c r="G59" s="190" t="str">
        <f>G5</f>
        <v>за апрель 2025г.</v>
      </c>
      <c r="H59" s="190"/>
    </row>
    <row r="60" spans="1:14" x14ac:dyDescent="0.3">
      <c r="A60" s="181" t="s">
        <v>138</v>
      </c>
      <c r="B60" s="181" t="s">
        <v>228</v>
      </c>
      <c r="C60" s="125" t="s">
        <v>229</v>
      </c>
      <c r="D60" s="181" t="s">
        <v>230</v>
      </c>
      <c r="E60" s="125" t="s">
        <v>231</v>
      </c>
      <c r="F60" s="126" t="s">
        <v>232</v>
      </c>
      <c r="G60" s="181" t="s">
        <v>233</v>
      </c>
      <c r="H60" s="127" t="s">
        <v>234</v>
      </c>
    </row>
    <row r="61" spans="1:14" x14ac:dyDescent="0.3">
      <c r="A61" s="182"/>
      <c r="B61" s="182"/>
      <c r="C61" s="128" t="s">
        <v>235</v>
      </c>
      <c r="D61" s="182"/>
      <c r="E61" s="128" t="s">
        <v>236</v>
      </c>
      <c r="F61" s="129" t="s">
        <v>237</v>
      </c>
      <c r="G61" s="183"/>
      <c r="H61" s="128" t="s">
        <v>143</v>
      </c>
    </row>
    <row r="62" spans="1:14" x14ac:dyDescent="0.3">
      <c r="A62" s="130"/>
      <c r="B62" s="130"/>
      <c r="C62" s="71" t="s">
        <v>238</v>
      </c>
      <c r="D62" s="71" t="s">
        <v>239</v>
      </c>
      <c r="E62" s="71" t="s">
        <v>144</v>
      </c>
      <c r="F62" s="131" t="s">
        <v>146</v>
      </c>
      <c r="G62" s="71" t="s">
        <v>146</v>
      </c>
      <c r="H62" s="71" t="s">
        <v>146</v>
      </c>
    </row>
    <row r="63" spans="1:14" x14ac:dyDescent="0.3">
      <c r="A63" s="132"/>
      <c r="B63" s="133" t="s">
        <v>240</v>
      </c>
      <c r="C63" s="134"/>
      <c r="D63" s="133"/>
      <c r="E63" s="134"/>
      <c r="F63" s="135"/>
      <c r="G63" s="71"/>
      <c r="H63" s="71"/>
    </row>
    <row r="64" spans="1:14" x14ac:dyDescent="0.3">
      <c r="A64" s="136" t="s">
        <v>150</v>
      </c>
      <c r="B64" s="137" t="s">
        <v>241</v>
      </c>
      <c r="C64" s="138"/>
      <c r="D64" s="137"/>
      <c r="E64" s="138"/>
      <c r="F64" s="139"/>
      <c r="G64" s="179"/>
      <c r="H64" s="140">
        <f>H9</f>
        <v>720</v>
      </c>
    </row>
    <row r="65" spans="1:16" x14ac:dyDescent="0.3">
      <c r="A65" s="69"/>
      <c r="B65" s="104" t="s">
        <v>242</v>
      </c>
      <c r="C65" s="68">
        <v>176.7</v>
      </c>
      <c r="D65" s="104" t="s">
        <v>243</v>
      </c>
      <c r="E65" s="68">
        <v>110</v>
      </c>
      <c r="F65" s="68">
        <v>56.5</v>
      </c>
      <c r="G65" s="176">
        <f>3393786/H64/1000</f>
        <v>4.713591666666666</v>
      </c>
      <c r="H65" s="141">
        <f>F65-G65</f>
        <v>51.786408333333334</v>
      </c>
    </row>
    <row r="66" spans="1:16" x14ac:dyDescent="0.3">
      <c r="A66" s="69"/>
      <c r="B66" s="104" t="s">
        <v>244</v>
      </c>
      <c r="C66" s="68">
        <v>176.7</v>
      </c>
      <c r="D66" s="104" t="s">
        <v>243</v>
      </c>
      <c r="E66" s="68">
        <v>110</v>
      </c>
      <c r="F66" s="68">
        <v>56.5</v>
      </c>
      <c r="G66" s="176">
        <f>4139322/H64/1000</f>
        <v>5.7490583333333332</v>
      </c>
      <c r="H66" s="141">
        <f t="shared" ref="H66:H107" si="3">F66-G66</f>
        <v>50.75094166666667</v>
      </c>
    </row>
    <row r="67" spans="1:16" x14ac:dyDescent="0.3">
      <c r="A67" s="69" t="s">
        <v>157</v>
      </c>
      <c r="B67" s="106" t="s">
        <v>245</v>
      </c>
      <c r="C67" s="142"/>
      <c r="D67" s="106"/>
      <c r="E67" s="142"/>
      <c r="F67" s="68"/>
      <c r="G67" s="176"/>
      <c r="H67" s="141"/>
    </row>
    <row r="68" spans="1:16" x14ac:dyDescent="0.3">
      <c r="A68" s="69"/>
      <c r="B68" s="104" t="s">
        <v>246</v>
      </c>
      <c r="C68" s="68">
        <v>10.26</v>
      </c>
      <c r="D68" s="104" t="s">
        <v>247</v>
      </c>
      <c r="E68" s="68">
        <v>110</v>
      </c>
      <c r="F68" s="68">
        <v>56.5</v>
      </c>
      <c r="G68" s="176">
        <f>(4653000-1710000)/H64/1000</f>
        <v>4.0875000000000004</v>
      </c>
      <c r="H68" s="141">
        <f t="shared" si="3"/>
        <v>52.412500000000001</v>
      </c>
      <c r="N68" s="143"/>
    </row>
    <row r="69" spans="1:16" x14ac:dyDescent="0.3">
      <c r="A69" s="69"/>
      <c r="B69" s="104" t="s">
        <v>248</v>
      </c>
      <c r="C69" s="68">
        <v>10.054</v>
      </c>
      <c r="D69" s="104" t="s">
        <v>247</v>
      </c>
      <c r="E69" s="68">
        <v>110</v>
      </c>
      <c r="F69" s="68">
        <v>56.5</v>
      </c>
      <c r="G69" s="176">
        <f>(7227000-2000000)/H64/1000</f>
        <v>7.2597222222222229</v>
      </c>
      <c r="H69" s="141">
        <f t="shared" si="3"/>
        <v>49.240277777777777</v>
      </c>
      <c r="I69" s="109"/>
      <c r="N69" s="165"/>
    </row>
    <row r="70" spans="1:16" x14ac:dyDescent="0.3">
      <c r="A70" s="69" t="s">
        <v>160</v>
      </c>
      <c r="B70" s="106" t="s">
        <v>249</v>
      </c>
      <c r="C70" s="142"/>
      <c r="D70" s="106"/>
      <c r="E70" s="142"/>
      <c r="F70" s="68"/>
      <c r="G70" s="176"/>
      <c r="H70" s="141">
        <f t="shared" si="3"/>
        <v>0</v>
      </c>
    </row>
    <row r="71" spans="1:16" x14ac:dyDescent="0.3">
      <c r="A71" s="69"/>
      <c r="B71" s="104" t="s">
        <v>250</v>
      </c>
      <c r="C71" s="68">
        <v>114.9</v>
      </c>
      <c r="D71" s="104" t="s">
        <v>251</v>
      </c>
      <c r="E71" s="68">
        <v>35</v>
      </c>
      <c r="F71" s="68">
        <v>11.4</v>
      </c>
      <c r="G71" s="176">
        <f>77273/H64/1000</f>
        <v>0.10732361111111111</v>
      </c>
      <c r="H71" s="141">
        <f t="shared" si="3"/>
        <v>11.292676388888889</v>
      </c>
      <c r="N71" s="164"/>
      <c r="O71" s="164"/>
      <c r="P71" s="164"/>
    </row>
    <row r="72" spans="1:16" x14ac:dyDescent="0.3">
      <c r="A72" s="69"/>
      <c r="B72" s="104" t="s">
        <v>252</v>
      </c>
      <c r="C72" s="68">
        <v>67.099999999999994</v>
      </c>
      <c r="D72" s="104" t="s">
        <v>253</v>
      </c>
      <c r="E72" s="68">
        <v>35</v>
      </c>
      <c r="F72" s="68">
        <v>14.4</v>
      </c>
      <c r="G72" s="176">
        <f>42339/H64/1000</f>
        <v>5.8804166666666664E-2</v>
      </c>
      <c r="H72" s="141">
        <f t="shared" si="3"/>
        <v>14.341195833333334</v>
      </c>
    </row>
    <row r="73" spans="1:16" x14ac:dyDescent="0.3">
      <c r="A73" s="69"/>
      <c r="B73" s="104" t="s">
        <v>254</v>
      </c>
      <c r="C73" s="68">
        <v>27.2</v>
      </c>
      <c r="D73" s="104" t="s">
        <v>255</v>
      </c>
      <c r="E73" s="68">
        <v>35</v>
      </c>
      <c r="F73" s="68">
        <v>11.4</v>
      </c>
      <c r="G73" s="176">
        <f>395007/H64/1000</f>
        <v>0.54862083333333334</v>
      </c>
      <c r="H73" s="141">
        <f t="shared" si="3"/>
        <v>10.851379166666668</v>
      </c>
    </row>
    <row r="74" spans="1:16" x14ac:dyDescent="0.3">
      <c r="A74" s="69"/>
      <c r="B74" s="104" t="s">
        <v>256</v>
      </c>
      <c r="C74" s="68">
        <v>52.7</v>
      </c>
      <c r="D74" s="104" t="s">
        <v>247</v>
      </c>
      <c r="E74" s="68">
        <v>35</v>
      </c>
      <c r="F74" s="68">
        <v>17.899999999999999</v>
      </c>
      <c r="G74" s="176">
        <f>(1042314)/H64/1000</f>
        <v>1.4476583333333333</v>
      </c>
      <c r="H74" s="141">
        <f t="shared" si="3"/>
        <v>16.452341666666666</v>
      </c>
    </row>
    <row r="75" spans="1:16" x14ac:dyDescent="0.3">
      <c r="A75" s="69"/>
      <c r="B75" s="104" t="s">
        <v>257</v>
      </c>
      <c r="C75" s="68">
        <v>4.82</v>
      </c>
      <c r="D75" s="104" t="s">
        <v>258</v>
      </c>
      <c r="E75" s="68">
        <v>35</v>
      </c>
      <c r="F75" s="68">
        <v>17.899999999999999</v>
      </c>
      <c r="G75" s="176">
        <f>1021104/H64/1000</f>
        <v>1.4182000000000001</v>
      </c>
      <c r="H75" s="141">
        <f t="shared" si="3"/>
        <v>16.4818</v>
      </c>
    </row>
    <row r="76" spans="1:16" x14ac:dyDescent="0.3">
      <c r="A76" s="69"/>
      <c r="B76" s="104" t="s">
        <v>259</v>
      </c>
      <c r="C76" s="68">
        <v>4.82</v>
      </c>
      <c r="D76" s="104" t="s">
        <v>258</v>
      </c>
      <c r="E76" s="68">
        <v>35</v>
      </c>
      <c r="F76" s="68">
        <v>17.899999999999999</v>
      </c>
      <c r="G76" s="176">
        <f>14668/H64/1000</f>
        <v>2.0372222222222222E-2</v>
      </c>
      <c r="H76" s="141">
        <f t="shared" si="3"/>
        <v>17.879627777777777</v>
      </c>
    </row>
    <row r="77" spans="1:16" x14ac:dyDescent="0.3">
      <c r="A77" s="69"/>
      <c r="B77" s="104" t="s">
        <v>260</v>
      </c>
      <c r="C77" s="68">
        <v>22</v>
      </c>
      <c r="D77" s="104" t="s">
        <v>253</v>
      </c>
      <c r="E77" s="68">
        <v>35</v>
      </c>
      <c r="F77" s="68">
        <v>17.899999999999999</v>
      </c>
      <c r="G77" s="176">
        <f>275268/H64/1000</f>
        <v>0.38231666666666664</v>
      </c>
      <c r="H77" s="141">
        <f t="shared" si="3"/>
        <v>17.517683333333331</v>
      </c>
    </row>
    <row r="78" spans="1:16" x14ac:dyDescent="0.3">
      <c r="A78" s="69"/>
      <c r="B78" s="104" t="s">
        <v>261</v>
      </c>
      <c r="C78" s="68">
        <v>22</v>
      </c>
      <c r="D78" s="104" t="s">
        <v>253</v>
      </c>
      <c r="E78" s="68">
        <v>35</v>
      </c>
      <c r="F78" s="68">
        <v>17.899999999999999</v>
      </c>
      <c r="G78" s="176">
        <f>249354/H64/1000</f>
        <v>0.34632499999999999</v>
      </c>
      <c r="H78" s="141">
        <f t="shared" si="3"/>
        <v>17.553674999999998</v>
      </c>
    </row>
    <row r="79" spans="1:16" x14ac:dyDescent="0.3">
      <c r="A79" s="69" t="s">
        <v>164</v>
      </c>
      <c r="B79" s="106" t="s">
        <v>262</v>
      </c>
      <c r="C79" s="142"/>
      <c r="D79" s="106"/>
      <c r="E79" s="68"/>
      <c r="F79" s="68"/>
      <c r="G79" s="176"/>
      <c r="H79" s="141"/>
    </row>
    <row r="80" spans="1:16" x14ac:dyDescent="0.3">
      <c r="A80" s="69"/>
      <c r="B80" s="104" t="s">
        <v>263</v>
      </c>
      <c r="C80" s="68">
        <v>33.549999999999997</v>
      </c>
      <c r="D80" s="104" t="s">
        <v>251</v>
      </c>
      <c r="E80" s="68">
        <v>35</v>
      </c>
      <c r="F80" s="68">
        <v>9.5</v>
      </c>
      <c r="G80" s="176">
        <f>220532/H64/1000</f>
        <v>0.30629444444444442</v>
      </c>
      <c r="H80" s="141">
        <f t="shared" si="3"/>
        <v>9.1937055555555549</v>
      </c>
    </row>
    <row r="81" spans="1:9" x14ac:dyDescent="0.3">
      <c r="A81" s="69"/>
      <c r="B81" s="104" t="s">
        <v>264</v>
      </c>
      <c r="C81" s="68">
        <v>27.7</v>
      </c>
      <c r="D81" s="104" t="s">
        <v>253</v>
      </c>
      <c r="E81" s="68">
        <v>35</v>
      </c>
      <c r="F81" s="68">
        <v>9.5</v>
      </c>
      <c r="G81" s="176">
        <f>65229/H64/1000</f>
        <v>9.0595833333333334E-2</v>
      </c>
      <c r="H81" s="141">
        <f t="shared" si="3"/>
        <v>9.4094041666666666</v>
      </c>
    </row>
    <row r="82" spans="1:9" x14ac:dyDescent="0.3">
      <c r="A82" s="69"/>
      <c r="B82" s="104" t="s">
        <v>265</v>
      </c>
      <c r="C82" s="68">
        <v>18.62</v>
      </c>
      <c r="D82" s="104" t="s">
        <v>255</v>
      </c>
      <c r="E82" s="68">
        <v>35</v>
      </c>
      <c r="F82" s="68">
        <v>11.4</v>
      </c>
      <c r="G82" s="176">
        <f>266371/H64/1000</f>
        <v>0.36995972222222223</v>
      </c>
      <c r="H82" s="141">
        <f t="shared" si="3"/>
        <v>11.030040277777777</v>
      </c>
    </row>
    <row r="83" spans="1:9" x14ac:dyDescent="0.3">
      <c r="A83" s="69" t="s">
        <v>168</v>
      </c>
      <c r="B83" s="106" t="s">
        <v>266</v>
      </c>
      <c r="C83" s="142"/>
      <c r="D83" s="106"/>
      <c r="E83" s="68"/>
      <c r="F83" s="68"/>
      <c r="G83" s="176"/>
      <c r="H83" s="141"/>
    </row>
    <row r="84" spans="1:9" x14ac:dyDescent="0.3">
      <c r="A84" s="69"/>
      <c r="B84" s="104" t="s">
        <v>267</v>
      </c>
      <c r="C84" s="68">
        <v>22.5</v>
      </c>
      <c r="D84" s="104" t="s">
        <v>268</v>
      </c>
      <c r="E84" s="68">
        <v>35</v>
      </c>
      <c r="F84" s="68">
        <v>20.7</v>
      </c>
      <c r="G84" s="176">
        <f>76482/H64/1000</f>
        <v>0.106225</v>
      </c>
      <c r="H84" s="141">
        <f t="shared" si="3"/>
        <v>20.593775000000001</v>
      </c>
    </row>
    <row r="85" spans="1:9" x14ac:dyDescent="0.3">
      <c r="A85" s="69"/>
      <c r="B85" s="104" t="s">
        <v>269</v>
      </c>
      <c r="C85" s="68">
        <v>19.690000000000001</v>
      </c>
      <c r="D85" s="104" t="s">
        <v>247</v>
      </c>
      <c r="E85" s="68">
        <v>35</v>
      </c>
      <c r="F85" s="68">
        <v>20.7</v>
      </c>
      <c r="G85" s="176">
        <f>1214178/H64/1000</f>
        <v>1.6863583333333334</v>
      </c>
      <c r="H85" s="141">
        <f t="shared" si="3"/>
        <v>19.013641666666665</v>
      </c>
    </row>
    <row r="86" spans="1:9" x14ac:dyDescent="0.3">
      <c r="A86" s="69" t="s">
        <v>172</v>
      </c>
      <c r="B86" s="106" t="s">
        <v>270</v>
      </c>
      <c r="C86" s="142"/>
      <c r="D86" s="106"/>
      <c r="E86" s="68"/>
      <c r="F86" s="68"/>
      <c r="G86" s="176"/>
      <c r="H86" s="141"/>
    </row>
    <row r="87" spans="1:9" x14ac:dyDescent="0.3">
      <c r="A87" s="69"/>
      <c r="B87" s="104" t="s">
        <v>271</v>
      </c>
      <c r="C87" s="68">
        <v>11.2</v>
      </c>
      <c r="D87" s="104" t="s">
        <v>255</v>
      </c>
      <c r="E87" s="68">
        <v>35</v>
      </c>
      <c r="F87" s="68">
        <v>11.4</v>
      </c>
      <c r="G87" s="176">
        <f>282363/H64/1000</f>
        <v>0.39217083333333336</v>
      </c>
      <c r="H87" s="141">
        <f t="shared" si="3"/>
        <v>11.007829166666667</v>
      </c>
    </row>
    <row r="88" spans="1:9" hidden="1" x14ac:dyDescent="0.3">
      <c r="A88" s="69"/>
      <c r="B88" s="104" t="s">
        <v>272</v>
      </c>
      <c r="C88" s="68">
        <v>12.6</v>
      </c>
      <c r="D88" s="104" t="s">
        <v>255</v>
      </c>
      <c r="E88" s="68">
        <v>35</v>
      </c>
      <c r="F88" s="68">
        <v>11.4</v>
      </c>
      <c r="G88" s="176">
        <v>0</v>
      </c>
      <c r="H88" s="141">
        <f t="shared" si="3"/>
        <v>11.4</v>
      </c>
    </row>
    <row r="89" spans="1:9" x14ac:dyDescent="0.3">
      <c r="A89" s="69" t="s">
        <v>175</v>
      </c>
      <c r="B89" s="106" t="s">
        <v>273</v>
      </c>
      <c r="C89" s="142"/>
      <c r="D89" s="106"/>
      <c r="E89" s="68"/>
      <c r="F89" s="68"/>
      <c r="G89" s="176"/>
      <c r="H89" s="141">
        <f>F89-G89</f>
        <v>0</v>
      </c>
    </row>
    <row r="90" spans="1:9" x14ac:dyDescent="0.3">
      <c r="A90" s="69"/>
      <c r="B90" s="104" t="s">
        <v>274</v>
      </c>
      <c r="C90" s="68">
        <v>13.5</v>
      </c>
      <c r="D90" s="104" t="s">
        <v>253</v>
      </c>
      <c r="E90" s="68">
        <v>35</v>
      </c>
      <c r="F90" s="68">
        <v>14.4</v>
      </c>
      <c r="G90" s="176">
        <f>157298/H64/1000</f>
        <v>0.21846944444444444</v>
      </c>
      <c r="H90" s="141">
        <f t="shared" si="3"/>
        <v>14.181530555555556</v>
      </c>
    </row>
    <row r="91" spans="1:9" x14ac:dyDescent="0.3">
      <c r="A91" s="69" t="s">
        <v>178</v>
      </c>
      <c r="B91" s="106" t="s">
        <v>275</v>
      </c>
      <c r="C91" s="142"/>
      <c r="D91" s="106"/>
      <c r="E91" s="142"/>
      <c r="F91" s="68"/>
      <c r="G91" s="176"/>
      <c r="H91" s="141"/>
    </row>
    <row r="92" spans="1:9" x14ac:dyDescent="0.3">
      <c r="A92" s="69"/>
      <c r="B92" s="104" t="s">
        <v>276</v>
      </c>
      <c r="C92" s="68">
        <v>42</v>
      </c>
      <c r="D92" s="104" t="s">
        <v>247</v>
      </c>
      <c r="E92" s="68">
        <v>110</v>
      </c>
      <c r="F92" s="68">
        <v>56.5</v>
      </c>
      <c r="G92" s="176">
        <f>1537025/H64/1000</f>
        <v>2.1347569444444443</v>
      </c>
      <c r="H92" s="141">
        <f t="shared" si="3"/>
        <v>54.365243055555553</v>
      </c>
      <c r="I92" s="161" t="s">
        <v>309</v>
      </c>
    </row>
    <row r="93" spans="1:9" x14ac:dyDescent="0.3">
      <c r="A93" s="69"/>
      <c r="B93" s="104" t="s">
        <v>277</v>
      </c>
      <c r="C93" s="68">
        <v>63.2</v>
      </c>
      <c r="D93" s="104" t="s">
        <v>268</v>
      </c>
      <c r="E93" s="68">
        <v>110</v>
      </c>
      <c r="F93" s="111">
        <v>65</v>
      </c>
      <c r="G93" s="176">
        <f>184097/H64/1000</f>
        <v>0.25569027777777775</v>
      </c>
      <c r="H93" s="141">
        <f t="shared" si="3"/>
        <v>64.744309722222226</v>
      </c>
      <c r="I93" s="161" t="s">
        <v>309</v>
      </c>
    </row>
    <row r="94" spans="1:9" x14ac:dyDescent="0.3">
      <c r="A94" s="69"/>
      <c r="B94" s="104" t="s">
        <v>278</v>
      </c>
      <c r="C94" s="68">
        <v>49</v>
      </c>
      <c r="D94" s="104" t="s">
        <v>279</v>
      </c>
      <c r="E94" s="68">
        <v>35</v>
      </c>
      <c r="F94" s="68">
        <v>11.4</v>
      </c>
      <c r="G94" s="176">
        <f>459453/H64/1000</f>
        <v>0.63812916666666675</v>
      </c>
      <c r="H94" s="141">
        <f t="shared" si="3"/>
        <v>10.761870833333333</v>
      </c>
      <c r="I94" s="161" t="s">
        <v>309</v>
      </c>
    </row>
    <row r="95" spans="1:9" x14ac:dyDescent="0.3">
      <c r="A95" s="69" t="s">
        <v>182</v>
      </c>
      <c r="B95" s="106" t="s">
        <v>280</v>
      </c>
      <c r="C95" s="142"/>
      <c r="D95" s="106"/>
      <c r="E95" s="68"/>
      <c r="F95" s="68"/>
      <c r="G95" s="176"/>
      <c r="H95" s="141"/>
    </row>
    <row r="96" spans="1:9" x14ac:dyDescent="0.3">
      <c r="A96" s="69"/>
      <c r="B96" s="104" t="s">
        <v>281</v>
      </c>
      <c r="C96" s="68">
        <v>75.2</v>
      </c>
      <c r="D96" s="104" t="s">
        <v>253</v>
      </c>
      <c r="E96" s="68">
        <v>35</v>
      </c>
      <c r="F96" s="68">
        <v>11.4</v>
      </c>
      <c r="G96" s="176">
        <f>159023/H64/1000</f>
        <v>0.22086527777777779</v>
      </c>
      <c r="H96" s="141">
        <f t="shared" si="3"/>
        <v>11.179134722222223</v>
      </c>
    </row>
    <row r="97" spans="1:9" x14ac:dyDescent="0.3">
      <c r="A97" s="69" t="s">
        <v>185</v>
      </c>
      <c r="B97" s="106" t="s">
        <v>282</v>
      </c>
      <c r="C97" s="142"/>
      <c r="D97" s="106"/>
      <c r="E97" s="68"/>
      <c r="F97" s="68"/>
      <c r="G97" s="176"/>
      <c r="H97" s="141"/>
    </row>
    <row r="98" spans="1:9" x14ac:dyDescent="0.3">
      <c r="A98" s="69"/>
      <c r="B98" s="104" t="s">
        <v>283</v>
      </c>
      <c r="C98" s="68">
        <v>56.26</v>
      </c>
      <c r="D98" s="104" t="s">
        <v>247</v>
      </c>
      <c r="E98" s="68">
        <v>35</v>
      </c>
      <c r="F98" s="68">
        <v>56.5</v>
      </c>
      <c r="G98" s="176">
        <f>93996/H64/1000</f>
        <v>0.13055</v>
      </c>
      <c r="H98" s="141">
        <f t="shared" si="3"/>
        <v>56.369450000000001</v>
      </c>
    </row>
    <row r="99" spans="1:9" x14ac:dyDescent="0.3">
      <c r="A99" s="69"/>
      <c r="B99" s="104" t="s">
        <v>284</v>
      </c>
      <c r="C99" s="68">
        <v>75.5</v>
      </c>
      <c r="D99" s="104" t="s">
        <v>243</v>
      </c>
      <c r="E99" s="68">
        <v>110</v>
      </c>
      <c r="F99" s="68">
        <v>56.5</v>
      </c>
      <c r="G99" s="176">
        <f>798446/H64/1000</f>
        <v>1.1089527777777777</v>
      </c>
      <c r="H99" s="141">
        <f t="shared" si="3"/>
        <v>55.39104722222222</v>
      </c>
    </row>
    <row r="100" spans="1:9" x14ac:dyDescent="0.3">
      <c r="A100" s="69"/>
      <c r="B100" s="104" t="s">
        <v>285</v>
      </c>
      <c r="C100" s="68">
        <v>95.9</v>
      </c>
      <c r="D100" s="104" t="s">
        <v>279</v>
      </c>
      <c r="E100" s="68">
        <v>35</v>
      </c>
      <c r="F100" s="68">
        <v>11.4</v>
      </c>
      <c r="G100" s="176">
        <f>197610/H64/1000</f>
        <v>0.2744583333333333</v>
      </c>
      <c r="H100" s="141">
        <f t="shared" si="3"/>
        <v>11.125541666666667</v>
      </c>
    </row>
    <row r="101" spans="1:9" x14ac:dyDescent="0.3">
      <c r="A101" s="69" t="s">
        <v>187</v>
      </c>
      <c r="B101" s="106" t="s">
        <v>286</v>
      </c>
      <c r="C101" s="142"/>
      <c r="D101" s="106"/>
      <c r="E101" s="68"/>
      <c r="F101" s="68"/>
      <c r="G101" s="176"/>
      <c r="H101" s="141"/>
    </row>
    <row r="102" spans="1:9" x14ac:dyDescent="0.3">
      <c r="A102" s="69"/>
      <c r="B102" s="104" t="s">
        <v>285</v>
      </c>
      <c r="C102" s="68">
        <v>43.3</v>
      </c>
      <c r="D102" s="104" t="s">
        <v>247</v>
      </c>
      <c r="E102" s="68">
        <v>35</v>
      </c>
      <c r="F102" s="68">
        <v>17.899999999999999</v>
      </c>
      <c r="G102" s="176">
        <f>76902/H64/1000</f>
        <v>0.10680833333333334</v>
      </c>
      <c r="H102" s="141">
        <f t="shared" si="3"/>
        <v>17.793191666666665</v>
      </c>
    </row>
    <row r="103" spans="1:9" x14ac:dyDescent="0.3">
      <c r="A103" s="69" t="s">
        <v>191</v>
      </c>
      <c r="B103" s="106" t="s">
        <v>287</v>
      </c>
      <c r="C103" s="142"/>
      <c r="D103" s="106"/>
      <c r="E103" s="68"/>
      <c r="F103" s="68"/>
      <c r="G103" s="176"/>
      <c r="H103" s="141"/>
    </row>
    <row r="104" spans="1:9" x14ac:dyDescent="0.3">
      <c r="A104" s="69"/>
      <c r="B104" s="104" t="s">
        <v>288</v>
      </c>
      <c r="C104" s="68">
        <v>42</v>
      </c>
      <c r="D104" s="104" t="s">
        <v>253</v>
      </c>
      <c r="E104" s="68">
        <v>35</v>
      </c>
      <c r="F104" s="68">
        <v>14.4</v>
      </c>
      <c r="G104" s="176">
        <f>4770/H64/1000</f>
        <v>6.6249999999999998E-3</v>
      </c>
      <c r="H104" s="141">
        <f t="shared" si="3"/>
        <v>14.393375000000001</v>
      </c>
      <c r="I104" s="161" t="s">
        <v>310</v>
      </c>
    </row>
    <row r="105" spans="1:9" x14ac:dyDescent="0.3">
      <c r="A105" s="69"/>
      <c r="B105" s="104" t="s">
        <v>289</v>
      </c>
      <c r="C105" s="68">
        <v>37</v>
      </c>
      <c r="D105" s="104" t="s">
        <v>253</v>
      </c>
      <c r="E105" s="68">
        <v>35</v>
      </c>
      <c r="F105" s="68">
        <v>14.4</v>
      </c>
      <c r="G105" s="176">
        <f>31654/H64/1000</f>
        <v>4.3963888888888886E-2</v>
      </c>
      <c r="H105" s="141">
        <f t="shared" si="3"/>
        <v>14.356036111111111</v>
      </c>
    </row>
    <row r="106" spans="1:9" x14ac:dyDescent="0.3">
      <c r="A106" s="69"/>
      <c r="B106" s="104" t="s">
        <v>284</v>
      </c>
      <c r="C106" s="68"/>
      <c r="D106" s="104" t="s">
        <v>253</v>
      </c>
      <c r="E106" s="68">
        <v>35</v>
      </c>
      <c r="F106" s="68">
        <v>14.4</v>
      </c>
      <c r="G106" s="176">
        <f>589869/H64/1000</f>
        <v>0.8192625</v>
      </c>
      <c r="H106" s="141">
        <f t="shared" si="3"/>
        <v>13.5807375</v>
      </c>
    </row>
    <row r="107" spans="1:9" x14ac:dyDescent="0.3">
      <c r="A107" s="114"/>
      <c r="B107" s="115" t="s">
        <v>290</v>
      </c>
      <c r="C107" s="116">
        <v>91</v>
      </c>
      <c r="D107" s="115" t="s">
        <v>291</v>
      </c>
      <c r="E107" s="116">
        <v>35</v>
      </c>
      <c r="F107" s="116">
        <v>17.899999999999999</v>
      </c>
      <c r="G107" s="177">
        <f>191065/H64/1000</f>
        <v>0.26536805555555554</v>
      </c>
      <c r="H107" s="144">
        <f t="shared" si="3"/>
        <v>17.634631944444443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opLeftCell="A67" workbookViewId="0">
      <selection activeCell="F19" sqref="F19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3" customWidth="1"/>
    <col min="8" max="8" width="26.109375" style="4" customWidth="1"/>
    <col min="9" max="16384" width="9.109375" style="1"/>
  </cols>
  <sheetData>
    <row r="1" spans="1:8" x14ac:dyDescent="0.3">
      <c r="A1" s="191" t="s">
        <v>0</v>
      </c>
      <c r="B1" s="191"/>
      <c r="C1" s="191"/>
      <c r="D1" s="191"/>
      <c r="E1" s="191"/>
      <c r="F1" s="191"/>
      <c r="G1" s="191"/>
      <c r="H1" s="191"/>
    </row>
    <row r="2" spans="1:8" x14ac:dyDescent="0.3">
      <c r="A2" s="191" t="s">
        <v>1</v>
      </c>
      <c r="B2" s="191"/>
      <c r="C2" s="191"/>
      <c r="D2" s="191"/>
      <c r="E2" s="191"/>
      <c r="F2" s="191"/>
      <c r="G2" s="191"/>
      <c r="H2" s="191"/>
    </row>
    <row r="4" spans="1:8" x14ac:dyDescent="0.3">
      <c r="A4" s="191" t="s">
        <v>2</v>
      </c>
      <c r="B4" s="191"/>
      <c r="C4" s="191"/>
      <c r="D4" s="191"/>
      <c r="E4" s="191"/>
      <c r="F4" s="191"/>
      <c r="G4" s="191"/>
      <c r="H4" s="191"/>
    </row>
    <row r="6" spans="1:8" x14ac:dyDescent="0.3">
      <c r="A6" s="191" t="s">
        <v>3</v>
      </c>
      <c r="B6" s="191"/>
      <c r="C6" s="191"/>
      <c r="D6" s="191"/>
      <c r="E6" s="191"/>
      <c r="F6" s="191"/>
      <c r="G6" s="191"/>
      <c r="H6" s="191"/>
    </row>
    <row r="7" spans="1:8" x14ac:dyDescent="0.3">
      <c r="B7" s="146" t="s">
        <v>315</v>
      </c>
    </row>
    <row r="8" spans="1:8" s="7" customFormat="1" ht="46.8" x14ac:dyDescent="0.3">
      <c r="A8" s="147" t="s">
        <v>4</v>
      </c>
      <c r="B8" s="147" t="s">
        <v>5</v>
      </c>
      <c r="C8" s="147" t="s">
        <v>6</v>
      </c>
      <c r="D8" s="147" t="s">
        <v>7</v>
      </c>
      <c r="E8" s="147" t="s">
        <v>8</v>
      </c>
      <c r="F8" s="147" t="s">
        <v>9</v>
      </c>
      <c r="G8" s="6" t="s">
        <v>295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4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5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5">
        <f>14700/720000</f>
        <v>2.0416666666666666E-2</v>
      </c>
      <c r="H11" s="19">
        <f>F11/1000-G11</f>
        <v>2.4795833333333333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4">
        <f>2128368/720000</f>
        <v>2.9560666666666666</v>
      </c>
      <c r="H12" s="11">
        <f t="shared" ref="H12:H49" si="0">F12/1000-G12</f>
        <v>13.043933333333333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1460118/720000</f>
        <v>2.0279416666666665</v>
      </c>
      <c r="H13" s="19">
        <f t="shared" si="0"/>
        <v>13.972058333333333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6">
        <f>55640/720000</f>
        <v>7.7277777777777779E-2</v>
      </c>
      <c r="H14" s="25">
        <f t="shared" si="0"/>
        <v>9.9227222222222231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57">
        <f>38580/720000</f>
        <v>5.358333333333333E-2</v>
      </c>
      <c r="H15" s="29">
        <f t="shared" si="0"/>
        <v>9.946416666666666</v>
      </c>
    </row>
    <row r="16" spans="1:8" x14ac:dyDescent="0.3">
      <c r="A16" s="8">
        <v>5</v>
      </c>
      <c r="B16" s="9" t="s">
        <v>24</v>
      </c>
      <c r="C16" s="10" t="s">
        <v>12</v>
      </c>
      <c r="D16" s="151" t="s">
        <v>20</v>
      </c>
      <c r="E16" s="8" t="s">
        <v>21</v>
      </c>
      <c r="F16" s="10">
        <v>40000</v>
      </c>
      <c r="G16" s="154">
        <f>1604328/720000</f>
        <v>2.2282333333333333</v>
      </c>
      <c r="H16" s="33">
        <f t="shared" si="0"/>
        <v>37.771766666666664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(1924496+4200+5680+24)/720000</f>
        <v>2.6866666666666665</v>
      </c>
      <c r="H17" s="19">
        <f t="shared" si="0"/>
        <v>3.6133333333333333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160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5">
        <f>78300/720000</f>
        <v>0.10875</v>
      </c>
      <c r="H19" s="15">
        <f>F19/1000-G19</f>
        <v>19.891249999999999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119784/720000</f>
        <v>0.16636666666666666</v>
      </c>
      <c r="H20" s="15">
        <f>F20/1000-G20</f>
        <v>9.8336333333333332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158">
        <f>118710/720000</f>
        <v>0.16487499999999999</v>
      </c>
      <c r="H21" s="36">
        <f t="shared" si="0"/>
        <v>15.835125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57">
        <f>59700/720000</f>
        <v>8.2916666666666666E-2</v>
      </c>
      <c r="H23" s="29">
        <f t="shared" si="0"/>
        <v>2.4170833333333333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v>0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(834576+352527)/720000</f>
        <v>1.6487541666666667</v>
      </c>
      <c r="H25" s="19">
        <f t="shared" si="0"/>
        <v>4.6512458333333333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865470/720000</f>
        <v>1.2020416666666667</v>
      </c>
      <c r="H26" s="36">
        <f>F26/1000-G26</f>
        <v>14.797958333333334</v>
      </c>
      <c r="J26" s="1" t="s">
        <v>293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v>0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57">
        <f>25109/720000</f>
        <v>3.4873611111111112E-2</v>
      </c>
      <c r="H28" s="29">
        <f t="shared" si="0"/>
        <v>2.4651263888888888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57">
        <f>49720/720000</f>
        <v>6.9055555555555551E-2</v>
      </c>
      <c r="H29" s="29">
        <f t="shared" si="0"/>
        <v>2.4309444444444446</v>
      </c>
      <c r="O29" s="1" t="s">
        <v>293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59">
        <f>(5419302+122340)/720000</f>
        <v>7.6967249999999998</v>
      </c>
      <c r="H30" s="36">
        <f>F30/1000-G30</f>
        <v>32.303274999999999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(368592+12240)/720000</f>
        <v>0.52893333333333337</v>
      </c>
      <c r="H31" s="19">
        <f>F31/1000-G31</f>
        <v>19.471066666666665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294</v>
      </c>
      <c r="E32" s="8" t="s">
        <v>28</v>
      </c>
      <c r="F32" s="10">
        <v>10000</v>
      </c>
      <c r="G32" s="31">
        <v>0</v>
      </c>
      <c r="H32" s="36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758076/720000</f>
        <v>1.0528833333333334</v>
      </c>
      <c r="H33" s="19">
        <f t="shared" si="0"/>
        <v>8.9471166666666662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57">
        <f>142148/720000</f>
        <v>0.19742777777777779</v>
      </c>
      <c r="H34" s="29">
        <f t="shared" si="0"/>
        <v>6.1025722222222223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4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1" t="s">
        <v>20</v>
      </c>
      <c r="E37" s="8" t="s">
        <v>26</v>
      </c>
      <c r="F37" s="10">
        <v>5600</v>
      </c>
      <c r="G37" s="159">
        <f>86400/720000</f>
        <v>0.12</v>
      </c>
      <c r="H37" s="33">
        <f t="shared" si="0"/>
        <v>5.4799999999999995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57">
        <f>8249/720000</f>
        <v>1.1456944444444445E-2</v>
      </c>
      <c r="H39" s="29">
        <f t="shared" si="0"/>
        <v>0.61854305555555555</v>
      </c>
    </row>
    <row r="40" spans="1:8" x14ac:dyDescent="0.3">
      <c r="A40" s="8">
        <v>19</v>
      </c>
      <c r="B40" s="9" t="s">
        <v>51</v>
      </c>
      <c r="C40" s="10" t="s">
        <v>12</v>
      </c>
      <c r="D40" s="151" t="s">
        <v>20</v>
      </c>
      <c r="E40" s="8" t="s">
        <v>26</v>
      </c>
      <c r="F40" s="10">
        <v>2500</v>
      </c>
      <c r="G40" s="31">
        <f>913/720000</f>
        <v>1.2680555555555555E-3</v>
      </c>
      <c r="H40" s="36">
        <f t="shared" si="0"/>
        <v>2.4987319444444442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57">
        <f>32303/720000</f>
        <v>4.4865277777777775E-2</v>
      </c>
      <c r="H42" s="29">
        <f t="shared" si="0"/>
        <v>1.5551347222222223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57">
        <f>40787/720000</f>
        <v>5.6648611111111108E-2</v>
      </c>
      <c r="H43" s="29">
        <f t="shared" si="0"/>
        <v>6.2433513888888887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48000/720000</f>
        <v>6.6666666666666666E-2</v>
      </c>
      <c r="H44" s="31">
        <f>F44/1000-G44</f>
        <v>3.9333333333333331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31">
        <f>2532/720000</f>
        <v>3.5166666666666666E-3</v>
      </c>
      <c r="H45" s="31">
        <f>F45/1000-G45</f>
        <v>3.9964833333333334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59">
        <v>0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158625/720000</f>
        <v>0.22031249999999999</v>
      </c>
      <c r="H47" s="20">
        <f>F47/1000-G47</f>
        <v>3.7796875000000001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57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57">
        <f>60371/720000</f>
        <v>8.384861111111111E-2</v>
      </c>
      <c r="H49" s="29">
        <f t="shared" si="0"/>
        <v>0.91615138888888892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57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92" t="s">
        <v>66</v>
      </c>
      <c r="B52" s="192"/>
      <c r="C52" s="192"/>
      <c r="D52" s="192"/>
      <c r="E52" s="192"/>
      <c r="F52" s="192"/>
      <c r="G52" s="192"/>
      <c r="H52" s="192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295</v>
      </c>
      <c r="H54" s="6" t="s">
        <v>10</v>
      </c>
    </row>
    <row r="55" spans="1:10" x14ac:dyDescent="0.3">
      <c r="A55" s="26"/>
      <c r="B55" s="148" t="s">
        <v>71</v>
      </c>
      <c r="C55" s="27"/>
      <c r="D55" s="24"/>
      <c r="E55" s="148"/>
      <c r="F55" s="24"/>
      <c r="G55" s="157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5">
        <f>5670408/720000</f>
        <v>7.8755666666666668</v>
      </c>
      <c r="H56" s="40">
        <f t="shared" ref="H56:H108" si="1">F56-G56</f>
        <v>57.77793333333333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5">
        <f>3312278/720000</f>
        <v>4.6003861111111108</v>
      </c>
      <c r="H57" s="40">
        <f t="shared" si="1"/>
        <v>83.932363888888887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5">
        <f>577293/720000</f>
        <v>0.80179583333333337</v>
      </c>
      <c r="H58" s="40">
        <f t="shared" si="1"/>
        <v>87.730954166666663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313</v>
      </c>
      <c r="E59" s="14">
        <v>110</v>
      </c>
      <c r="F59" s="40">
        <f>1.73*115*445/1000</f>
        <v>88.532749999999993</v>
      </c>
      <c r="G59" s="155">
        <f>5575992/720000</f>
        <v>7.7444333333333333</v>
      </c>
      <c r="H59" s="40">
        <f t="shared" si="1"/>
        <v>80.78831666666666</v>
      </c>
      <c r="J59" s="1" t="s">
        <v>293</v>
      </c>
    </row>
    <row r="60" spans="1:10" x14ac:dyDescent="0.3">
      <c r="A60" s="12">
        <v>5</v>
      </c>
      <c r="B60" s="13" t="s">
        <v>76</v>
      </c>
      <c r="C60" s="41">
        <v>17.3</v>
      </c>
      <c r="D60" s="42" t="s">
        <v>313</v>
      </c>
      <c r="E60" s="14">
        <v>110</v>
      </c>
      <c r="F60" s="40">
        <f>1.73*115*445/1000</f>
        <v>88.532749999999993</v>
      </c>
      <c r="G60" s="155">
        <f>1609157/720000</f>
        <v>2.2349402777777776</v>
      </c>
      <c r="H60" s="40">
        <f t="shared" si="1"/>
        <v>86.297809722222212</v>
      </c>
    </row>
    <row r="61" spans="1:10" x14ac:dyDescent="0.3">
      <c r="A61" s="12">
        <v>6</v>
      </c>
      <c r="B61" s="13" t="s">
        <v>77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5">
        <f>269773/720000</f>
        <v>0.37468472222222221</v>
      </c>
      <c r="H61" s="40">
        <f t="shared" si="1"/>
        <v>88.158065277777766</v>
      </c>
    </row>
    <row r="62" spans="1:10" x14ac:dyDescent="0.3">
      <c r="A62" s="12">
        <v>7</v>
      </c>
      <c r="B62" s="13" t="s">
        <v>78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5">
        <f>2301596/720000</f>
        <v>3.1966611111111112</v>
      </c>
      <c r="H62" s="40">
        <f t="shared" si="1"/>
        <v>72.404338888888887</v>
      </c>
    </row>
    <row r="63" spans="1:10" x14ac:dyDescent="0.3">
      <c r="A63" s="12">
        <v>8</v>
      </c>
      <c r="B63" s="13" t="s">
        <v>79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5">
        <f>9273838/720000</f>
        <v>12.880330555555556</v>
      </c>
      <c r="H63" s="40">
        <f t="shared" si="1"/>
        <v>88.584169444444441</v>
      </c>
    </row>
    <row r="64" spans="1:10" x14ac:dyDescent="0.3">
      <c r="A64" s="12">
        <v>9</v>
      </c>
      <c r="B64" s="13" t="s">
        <v>80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5">
        <f>2833989/720000</f>
        <v>3.9360958333333333</v>
      </c>
      <c r="H64" s="72">
        <f t="shared" si="1"/>
        <v>97.528404166666661</v>
      </c>
    </row>
    <row r="65" spans="1:8" x14ac:dyDescent="0.3">
      <c r="A65" s="12">
        <v>10</v>
      </c>
      <c r="B65" s="13" t="s">
        <v>81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55">
        <f>439148/720000</f>
        <v>0.60992777777777774</v>
      </c>
      <c r="H65" s="72">
        <f t="shared" si="1"/>
        <v>74.991072222222215</v>
      </c>
    </row>
    <row r="66" spans="1:8" x14ac:dyDescent="0.3">
      <c r="A66" s="16">
        <v>11</v>
      </c>
      <c r="B66" s="17" t="s">
        <v>82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84823/720000</f>
        <v>0.11780972222222222</v>
      </c>
      <c r="H66" s="46">
        <f t="shared" si="1"/>
        <v>11.083940277777778</v>
      </c>
    </row>
    <row r="67" spans="1:8" x14ac:dyDescent="0.3">
      <c r="A67" s="26"/>
      <c r="B67" s="148" t="s">
        <v>83</v>
      </c>
      <c r="C67" s="47"/>
      <c r="D67" s="48"/>
      <c r="E67" s="148"/>
      <c r="F67" s="149"/>
      <c r="G67" s="157"/>
      <c r="H67" s="149"/>
    </row>
    <row r="68" spans="1:8" x14ac:dyDescent="0.3">
      <c r="A68" s="8">
        <v>12</v>
      </c>
      <c r="B68" s="9" t="s">
        <v>84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59">
        <f>113267/720000</f>
        <v>0.15731527777777779</v>
      </c>
      <c r="H68" s="150">
        <f t="shared" si="1"/>
        <v>75.443684722222216</v>
      </c>
    </row>
    <row r="69" spans="1:8" x14ac:dyDescent="0.3">
      <c r="A69" s="12">
        <v>13</v>
      </c>
      <c r="B69" s="13" t="s">
        <v>85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31">
        <v>0</v>
      </c>
      <c r="H69" s="150" t="s">
        <v>15</v>
      </c>
    </row>
    <row r="70" spans="1:8" x14ac:dyDescent="0.3">
      <c r="A70" s="16">
        <v>14</v>
      </c>
      <c r="B70" s="17" t="s">
        <v>86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20">
        <f>1052679/720000</f>
        <v>1.4620541666666667</v>
      </c>
      <c r="H70" s="46">
        <f t="shared" si="1"/>
        <v>74.138945833333338</v>
      </c>
    </row>
    <row r="71" spans="1:8" x14ac:dyDescent="0.3">
      <c r="A71" s="26"/>
      <c r="B71" s="148" t="s">
        <v>87</v>
      </c>
      <c r="C71" s="50"/>
      <c r="D71" s="48"/>
      <c r="E71" s="148"/>
      <c r="F71" s="149"/>
      <c r="G71" s="157"/>
      <c r="H71" s="149"/>
    </row>
    <row r="72" spans="1:8" x14ac:dyDescent="0.3">
      <c r="A72" s="8">
        <v>15</v>
      </c>
      <c r="B72" s="9" t="s">
        <v>88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59">
        <f>5851936/720000</f>
        <v>8.1276888888888887</v>
      </c>
      <c r="H72" s="54">
        <f t="shared" si="1"/>
        <v>93.336811111111118</v>
      </c>
    </row>
    <row r="73" spans="1:8" x14ac:dyDescent="0.3">
      <c r="A73" s="16">
        <v>16</v>
      </c>
      <c r="B73" s="17" t="s">
        <v>89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1479671/720000</f>
        <v>2.0550986111111111</v>
      </c>
      <c r="H73" s="46">
        <f t="shared" si="1"/>
        <v>14.907551388888889</v>
      </c>
    </row>
    <row r="74" spans="1:8" x14ac:dyDescent="0.3">
      <c r="A74" s="26"/>
      <c r="B74" s="148" t="s">
        <v>90</v>
      </c>
      <c r="C74" s="47"/>
      <c r="D74" s="48"/>
      <c r="E74" s="148"/>
      <c r="F74" s="149"/>
      <c r="G74" s="157"/>
      <c r="H74" s="149"/>
    </row>
    <row r="75" spans="1:8" x14ac:dyDescent="0.3">
      <c r="A75" s="8">
        <v>17</v>
      </c>
      <c r="B75" s="9" t="s">
        <v>91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4">
        <f>26588/720000</f>
        <v>3.6927777777777775E-2</v>
      </c>
      <c r="H75" s="39">
        <f t="shared" si="1"/>
        <v>21.086372222222227</v>
      </c>
    </row>
    <row r="76" spans="1:8" x14ac:dyDescent="0.3">
      <c r="A76" s="12">
        <v>18</v>
      </c>
      <c r="B76" s="13" t="s">
        <v>92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5">
        <f>1098300/720000</f>
        <v>1.5254166666666666</v>
      </c>
      <c r="H76" s="40">
        <f t="shared" si="1"/>
        <v>15.437233333333333</v>
      </c>
    </row>
    <row r="77" spans="1:8" x14ac:dyDescent="0.3">
      <c r="A77" s="12">
        <v>19</v>
      </c>
      <c r="B77" s="13" t="s">
        <v>93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v>0</v>
      </c>
      <c r="H77" s="72">
        <f t="shared" si="1"/>
        <v>16.96265</v>
      </c>
    </row>
    <row r="78" spans="1:8" x14ac:dyDescent="0.3">
      <c r="A78" s="12">
        <v>20</v>
      </c>
      <c r="B78" s="13" t="s">
        <v>94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55">
        <f>132/720000</f>
        <v>1.8333333333333334E-4</v>
      </c>
      <c r="H78" s="40">
        <f t="shared" si="1"/>
        <v>16.962466666666668</v>
      </c>
    </row>
    <row r="79" spans="1:8" x14ac:dyDescent="0.3">
      <c r="A79" s="16">
        <v>21</v>
      </c>
      <c r="B79" s="17" t="s">
        <v>95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6">
        <f>57552/720000</f>
        <v>7.9933333333333328E-2</v>
      </c>
      <c r="H79" s="145">
        <f t="shared" si="1"/>
        <v>21.043366666666671</v>
      </c>
    </row>
    <row r="80" spans="1:8" x14ac:dyDescent="0.3">
      <c r="A80" s="26"/>
      <c r="B80" s="148" t="s">
        <v>96</v>
      </c>
      <c r="C80" s="50"/>
      <c r="D80" s="48"/>
      <c r="E80" s="148"/>
      <c r="F80" s="149"/>
      <c r="G80" s="157"/>
      <c r="H80" s="149"/>
    </row>
    <row r="81" spans="1:8" x14ac:dyDescent="0.3">
      <c r="A81" s="26">
        <v>22</v>
      </c>
      <c r="B81" s="27" t="s">
        <v>97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57">
        <v>0</v>
      </c>
      <c r="H81" s="53" t="s">
        <v>15</v>
      </c>
    </row>
    <row r="82" spans="1:8" hidden="1" x14ac:dyDescent="0.3">
      <c r="A82" s="26"/>
      <c r="B82" s="148" t="s">
        <v>98</v>
      </c>
      <c r="C82" s="50"/>
      <c r="D82" s="48"/>
      <c r="E82" s="148"/>
      <c r="F82" s="149"/>
      <c r="G82" s="157"/>
      <c r="H82" s="149"/>
    </row>
    <row r="83" spans="1:8" hidden="1" x14ac:dyDescent="0.3">
      <c r="A83" s="26">
        <v>23</v>
      </c>
      <c r="B83" s="27" t="s">
        <v>99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57">
        <v>0</v>
      </c>
      <c r="H83" s="53" t="s">
        <v>15</v>
      </c>
    </row>
    <row r="84" spans="1:8" x14ac:dyDescent="0.3">
      <c r="A84" s="26"/>
      <c r="B84" s="148" t="s">
        <v>100</v>
      </c>
      <c r="C84" s="50"/>
      <c r="D84" s="48"/>
      <c r="E84" s="148"/>
      <c r="F84" s="149"/>
      <c r="G84" s="157"/>
      <c r="H84" s="149"/>
    </row>
    <row r="85" spans="1:8" x14ac:dyDescent="0.3">
      <c r="A85" s="8">
        <v>24</v>
      </c>
      <c r="B85" s="9" t="s">
        <v>85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59">
        <f>33660/720000</f>
        <v>4.675E-2</v>
      </c>
      <c r="H85" s="40">
        <f t="shared" si="1"/>
        <v>75.554249999999996</v>
      </c>
    </row>
    <row r="86" spans="1:8" x14ac:dyDescent="0.3">
      <c r="A86" s="12">
        <v>25</v>
      </c>
      <c r="B86" s="13" t="s">
        <v>101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5">
        <f>1578720/720000</f>
        <v>2.1926666666666668</v>
      </c>
      <c r="H86" s="40">
        <f t="shared" si="1"/>
        <v>99.271833333333333</v>
      </c>
    </row>
    <row r="87" spans="1:8" x14ac:dyDescent="0.3">
      <c r="A87" s="16">
        <v>26</v>
      </c>
      <c r="B87" s="17" t="s">
        <v>102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1192380/720000</f>
        <v>1.6560833333333334</v>
      </c>
      <c r="H87" s="46">
        <f t="shared" si="1"/>
        <v>11.786016666666667</v>
      </c>
    </row>
    <row r="88" spans="1:8" x14ac:dyDescent="0.3">
      <c r="A88" s="26"/>
      <c r="B88" s="148" t="s">
        <v>103</v>
      </c>
      <c r="C88" s="47"/>
      <c r="D88" s="48"/>
      <c r="E88" s="148"/>
      <c r="F88" s="149"/>
      <c r="G88" s="157"/>
      <c r="H88" s="149"/>
    </row>
    <row r="89" spans="1:8" x14ac:dyDescent="0.3">
      <c r="A89" s="8">
        <v>27</v>
      </c>
      <c r="B89" s="9" t="s">
        <v>104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59">
        <f>668360/720000</f>
        <v>0.92827777777777776</v>
      </c>
      <c r="H89" s="54">
        <f>F89-G89</f>
        <v>74.67272222222222</v>
      </c>
    </row>
    <row r="90" spans="1:8" x14ac:dyDescent="0.3">
      <c r="A90" s="16">
        <v>28</v>
      </c>
      <c r="B90" s="17" t="s">
        <v>105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v>0</v>
      </c>
      <c r="H90" s="174" t="s">
        <v>15</v>
      </c>
    </row>
    <row r="91" spans="1:8" x14ac:dyDescent="0.3">
      <c r="A91" s="26"/>
      <c r="B91" s="148" t="s">
        <v>106</v>
      </c>
      <c r="C91" s="50"/>
      <c r="D91" s="48"/>
      <c r="E91" s="148"/>
      <c r="F91" s="149"/>
      <c r="G91" s="157"/>
      <c r="H91" s="149"/>
    </row>
    <row r="92" spans="1:8" x14ac:dyDescent="0.3">
      <c r="A92" s="26">
        <v>29</v>
      </c>
      <c r="B92" s="27" t="s">
        <v>107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57">
        <f>95864/720000</f>
        <v>0.13314444444444445</v>
      </c>
      <c r="H92" s="52">
        <f t="shared" si="1"/>
        <v>16.829505555555556</v>
      </c>
    </row>
    <row r="93" spans="1:8" x14ac:dyDescent="0.3">
      <c r="A93" s="26"/>
      <c r="B93" s="148" t="s">
        <v>108</v>
      </c>
      <c r="C93" s="50"/>
      <c r="D93" s="48"/>
      <c r="E93" s="148"/>
      <c r="F93" s="149"/>
      <c r="G93" s="157"/>
      <c r="H93" s="149"/>
    </row>
    <row r="94" spans="1:8" x14ac:dyDescent="0.3">
      <c r="A94" s="26">
        <v>30</v>
      </c>
      <c r="B94" s="27" t="s">
        <v>109</v>
      </c>
      <c r="C94" s="47">
        <v>65</v>
      </c>
      <c r="D94" s="48" t="s">
        <v>110</v>
      </c>
      <c r="E94" s="24">
        <v>35</v>
      </c>
      <c r="F94" s="52">
        <f>1.73*37*265/1000</f>
        <v>16.96265</v>
      </c>
      <c r="G94" s="157">
        <f>1316805/720000</f>
        <v>1.8288958333333334</v>
      </c>
      <c r="H94" s="52">
        <f t="shared" si="1"/>
        <v>15.133754166666666</v>
      </c>
    </row>
    <row r="95" spans="1:8" x14ac:dyDescent="0.3">
      <c r="A95" s="26"/>
      <c r="B95" s="148" t="s">
        <v>111</v>
      </c>
      <c r="C95" s="47"/>
      <c r="D95" s="48"/>
      <c r="E95" s="148"/>
      <c r="F95" s="149"/>
      <c r="G95" s="157"/>
      <c r="H95" s="149"/>
    </row>
    <row r="96" spans="1:8" x14ac:dyDescent="0.3">
      <c r="A96" s="8">
        <v>31</v>
      </c>
      <c r="B96" s="9" t="s">
        <v>112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4">
        <f>3672/720000</f>
        <v>5.1000000000000004E-3</v>
      </c>
      <c r="H96" s="39">
        <f t="shared" si="1"/>
        <v>16.957550000000001</v>
      </c>
    </row>
    <row r="97" spans="1:8" x14ac:dyDescent="0.3">
      <c r="A97" s="16">
        <v>32</v>
      </c>
      <c r="B97" s="17" t="s">
        <v>113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32303/720000</f>
        <v>4.4865277777777775E-2</v>
      </c>
      <c r="H97" s="46">
        <f t="shared" si="1"/>
        <v>21.078434722222227</v>
      </c>
    </row>
    <row r="98" spans="1:8" x14ac:dyDescent="0.3">
      <c r="A98" s="26"/>
      <c r="B98" s="148" t="s">
        <v>114</v>
      </c>
      <c r="C98" s="57"/>
      <c r="D98" s="58"/>
      <c r="E98" s="148"/>
      <c r="F98" s="149"/>
      <c r="G98" s="157"/>
      <c r="H98" s="149"/>
    </row>
    <row r="99" spans="1:8" x14ac:dyDescent="0.3">
      <c r="A99" s="26">
        <v>33</v>
      </c>
      <c r="B99" s="27" t="s">
        <v>115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57">
        <f>8249/720000</f>
        <v>1.1456944444444445E-2</v>
      </c>
      <c r="H99" s="52">
        <f t="shared" si="1"/>
        <v>16.951193055555557</v>
      </c>
    </row>
    <row r="100" spans="1:8" x14ac:dyDescent="0.3">
      <c r="A100" s="26"/>
      <c r="B100" s="148" t="s">
        <v>116</v>
      </c>
      <c r="C100" s="57"/>
      <c r="D100" s="58"/>
      <c r="E100" s="148"/>
      <c r="F100" s="149"/>
      <c r="G100" s="157"/>
      <c r="H100" s="149"/>
    </row>
    <row r="101" spans="1:8" x14ac:dyDescent="0.3">
      <c r="A101" s="26">
        <v>34</v>
      </c>
      <c r="B101" s="27" t="s">
        <v>117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57">
        <f>117799/720000</f>
        <v>0.16360972222222223</v>
      </c>
      <c r="H101" s="52">
        <f t="shared" si="1"/>
        <v>20.959690277777781</v>
      </c>
    </row>
    <row r="102" spans="1:8" x14ac:dyDescent="0.3">
      <c r="A102" s="26"/>
      <c r="B102" s="148" t="s">
        <v>118</v>
      </c>
      <c r="C102" s="57"/>
      <c r="D102" s="58"/>
      <c r="E102" s="148"/>
      <c r="F102" s="149"/>
      <c r="G102" s="157"/>
      <c r="H102" s="149"/>
    </row>
    <row r="103" spans="1:8" x14ac:dyDescent="0.3">
      <c r="A103" s="8">
        <v>35</v>
      </c>
      <c r="B103" s="9" t="s">
        <v>119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4">
        <f>58688/720000</f>
        <v>8.1511111111111118E-2</v>
      </c>
      <c r="H103" s="39">
        <f t="shared" si="1"/>
        <v>16.881138888888888</v>
      </c>
    </row>
    <row r="104" spans="1:8" x14ac:dyDescent="0.3">
      <c r="A104" s="12">
        <v>36</v>
      </c>
      <c r="B104" s="13" t="s">
        <v>120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5">
        <f>95088/720000</f>
        <v>0.13206666666666667</v>
      </c>
      <c r="H104" s="72">
        <f t="shared" si="1"/>
        <v>16.830583333333333</v>
      </c>
    </row>
    <row r="105" spans="1:8" x14ac:dyDescent="0.3">
      <c r="A105" s="16">
        <v>37</v>
      </c>
      <c r="B105" s="17" t="s">
        <v>121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5">
        <f>838089/720000</f>
        <v>1.1640124999999999</v>
      </c>
      <c r="H105" s="72">
        <f t="shared" si="1"/>
        <v>15.7986375</v>
      </c>
    </row>
    <row r="106" spans="1:8" x14ac:dyDescent="0.3">
      <c r="A106" s="26"/>
      <c r="B106" s="148" t="s">
        <v>122</v>
      </c>
      <c r="C106" s="57"/>
      <c r="D106" s="58"/>
      <c r="E106" s="148"/>
      <c r="F106" s="149"/>
      <c r="G106" s="157"/>
      <c r="H106" s="149"/>
    </row>
    <row r="107" spans="1:8" x14ac:dyDescent="0.3">
      <c r="A107" s="8">
        <v>38</v>
      </c>
      <c r="B107" s="9" t="s">
        <v>123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4">
        <f>146811/720000</f>
        <v>0.20390416666666666</v>
      </c>
      <c r="H107" s="39">
        <f t="shared" si="1"/>
        <v>16.758745833333332</v>
      </c>
    </row>
    <row r="108" spans="1:8" x14ac:dyDescent="0.3">
      <c r="A108" s="16">
        <v>39</v>
      </c>
      <c r="B108" s="17" t="s">
        <v>124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137424/720000</f>
        <v>0.19086666666666666</v>
      </c>
      <c r="H108" s="46">
        <f t="shared" si="1"/>
        <v>24.132933333333334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апрель 2025г.</vt:lpstr>
      <vt:lpstr>БЭУ за апрель 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2025-05-13T08:47:43Z</dcterms:modified>
</cp:coreProperties>
</file>