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355" windowHeight="7950" activeTab="5"/>
  </bookViews>
  <sheets>
    <sheet name="март" sheetId="1" r:id="rId1"/>
    <sheet name="апрель" sheetId="4" r:id="rId2"/>
    <sheet name="май" sheetId="6" r:id="rId3"/>
    <sheet name="июнь" sheetId="5" r:id="rId4"/>
    <sheet name="июль" sheetId="7" r:id="rId5"/>
    <sheet name="август" sheetId="8" r:id="rId6"/>
  </sheets>
  <calcPr calcId="145621"/>
</workbook>
</file>

<file path=xl/calcChain.xml><?xml version="1.0" encoding="utf-8"?>
<calcChain xmlns="http://schemas.openxmlformats.org/spreadsheetml/2006/main">
  <c r="G49" i="8" l="1"/>
  <c r="G46" i="8"/>
  <c r="G44" i="8"/>
  <c r="G43" i="8"/>
  <c r="G42" i="8"/>
  <c r="G41" i="8"/>
  <c r="G39" i="8"/>
  <c r="G37" i="8"/>
  <c r="G34" i="8"/>
  <c r="G33" i="8"/>
  <c r="G32" i="8"/>
  <c r="G31" i="8"/>
  <c r="G30" i="8"/>
  <c r="G29" i="8"/>
  <c r="G28" i="8"/>
  <c r="G26" i="8"/>
  <c r="G25" i="8"/>
  <c r="H24" i="8"/>
  <c r="G24" i="8"/>
  <c r="H21" i="8"/>
  <c r="G23" i="8"/>
  <c r="G22" i="8"/>
  <c r="G21" i="8"/>
  <c r="G20" i="8"/>
  <c r="G19" i="8"/>
  <c r="G18" i="8"/>
  <c r="G17" i="8"/>
  <c r="G16" i="8"/>
  <c r="G15" i="8"/>
  <c r="G14" i="8"/>
  <c r="G13" i="8"/>
  <c r="G12" i="8"/>
  <c r="G108" i="8"/>
  <c r="G107" i="8"/>
  <c r="G105" i="8"/>
  <c r="G104" i="8"/>
  <c r="G103" i="8"/>
  <c r="G101" i="8"/>
  <c r="G99" i="8"/>
  <c r="G97" i="8"/>
  <c r="G94" i="8" l="1"/>
  <c r="G92" i="8"/>
  <c r="G90" i="8"/>
  <c r="G89" i="8"/>
  <c r="G87" i="8"/>
  <c r="G86" i="8"/>
  <c r="G85" i="8"/>
  <c r="G79" i="8"/>
  <c r="H77" i="8"/>
  <c r="G77" i="8"/>
  <c r="G76" i="8"/>
  <c r="G75" i="8"/>
  <c r="G73" i="8"/>
  <c r="G72" i="8"/>
  <c r="H69" i="8"/>
  <c r="G69" i="8"/>
  <c r="G70" i="8"/>
  <c r="G68" i="8"/>
  <c r="G65" i="8"/>
  <c r="G66" i="8"/>
  <c r="G64" i="8"/>
  <c r="G63" i="8"/>
  <c r="G61" i="8"/>
  <c r="G60" i="8"/>
  <c r="G59" i="8"/>
  <c r="G58" i="8"/>
  <c r="G57" i="8"/>
  <c r="G56" i="8"/>
  <c r="H108" i="8" l="1"/>
  <c r="F108" i="8"/>
  <c r="F107" i="8"/>
  <c r="H107" i="8" s="1"/>
  <c r="F105" i="8"/>
  <c r="H105" i="8" s="1"/>
  <c r="F104" i="8"/>
  <c r="H104" i="8" s="1"/>
  <c r="H103" i="8"/>
  <c r="F103" i="8"/>
  <c r="F101" i="8"/>
  <c r="H101" i="8" s="1"/>
  <c r="F99" i="8"/>
  <c r="H99" i="8" s="1"/>
  <c r="H97" i="8"/>
  <c r="F97" i="8"/>
  <c r="H96" i="8"/>
  <c r="G96" i="8"/>
  <c r="F96" i="8"/>
  <c r="F94" i="8"/>
  <c r="H94" i="8" s="1"/>
  <c r="F92" i="8"/>
  <c r="H92" i="8" s="1"/>
  <c r="F90" i="8"/>
  <c r="F89" i="8"/>
  <c r="H89" i="8" s="1"/>
  <c r="F87" i="8"/>
  <c r="H87" i="8" s="1"/>
  <c r="F86" i="8"/>
  <c r="H86" i="8" s="1"/>
  <c r="H85" i="8"/>
  <c r="F85" i="8"/>
  <c r="F83" i="8"/>
  <c r="F81" i="8"/>
  <c r="F79" i="8"/>
  <c r="H79" i="8" s="1"/>
  <c r="F78" i="8"/>
  <c r="F77" i="8"/>
  <c r="F76" i="8"/>
  <c r="H76" i="8" s="1"/>
  <c r="F75" i="8"/>
  <c r="H75" i="8" s="1"/>
  <c r="H73" i="8"/>
  <c r="F73" i="8"/>
  <c r="H72" i="8"/>
  <c r="F72" i="8"/>
  <c r="F70" i="8"/>
  <c r="H70" i="8" s="1"/>
  <c r="F69" i="8"/>
  <c r="F68" i="8"/>
  <c r="H68" i="8" s="1"/>
  <c r="F66" i="8"/>
  <c r="H66" i="8" s="1"/>
  <c r="F65" i="8"/>
  <c r="H65" i="8" s="1"/>
  <c r="F64" i="8"/>
  <c r="H64" i="8" s="1"/>
  <c r="F63" i="8"/>
  <c r="H63" i="8" s="1"/>
  <c r="F62" i="8"/>
  <c r="H61" i="8"/>
  <c r="F61" i="8"/>
  <c r="F60" i="8"/>
  <c r="H60" i="8" s="1"/>
  <c r="H59" i="8"/>
  <c r="F59" i="8"/>
  <c r="H58" i="8"/>
  <c r="F58" i="8"/>
  <c r="F57" i="8"/>
  <c r="H57" i="8" s="1"/>
  <c r="F56" i="8"/>
  <c r="H56" i="8" s="1"/>
  <c r="H49" i="8"/>
  <c r="H46" i="8"/>
  <c r="H44" i="8"/>
  <c r="H43" i="8"/>
  <c r="H42" i="8"/>
  <c r="H41" i="8"/>
  <c r="H39" i="8"/>
  <c r="H37" i="8"/>
  <c r="H34" i="8"/>
  <c r="H33" i="8"/>
  <c r="H32" i="8"/>
  <c r="H31" i="8"/>
  <c r="H30" i="8"/>
  <c r="H29" i="8"/>
  <c r="H28" i="8"/>
  <c r="H26" i="8"/>
  <c r="H25" i="8"/>
  <c r="H23" i="8"/>
  <c r="H22" i="8"/>
  <c r="H20" i="8"/>
  <c r="H19" i="8"/>
  <c r="H18" i="8"/>
  <c r="H17" i="8"/>
  <c r="H16" i="8"/>
  <c r="H15" i="8"/>
  <c r="H14" i="8"/>
  <c r="H13" i="8"/>
  <c r="H12" i="8"/>
  <c r="H11" i="8"/>
  <c r="G49" i="7" l="1"/>
  <c r="G47" i="7"/>
  <c r="H46" i="7"/>
  <c r="G46" i="7"/>
  <c r="G44" i="7"/>
  <c r="G43" i="7"/>
  <c r="G42" i="7"/>
  <c r="G41" i="7"/>
  <c r="G39" i="7"/>
  <c r="G37" i="7"/>
  <c r="G34" i="7"/>
  <c r="H33" i="7"/>
  <c r="G33" i="7"/>
  <c r="G32" i="7"/>
  <c r="G31" i="7"/>
  <c r="G29" i="7"/>
  <c r="G28" i="7"/>
  <c r="G26" i="7"/>
  <c r="G25" i="7"/>
  <c r="G23" i="7"/>
  <c r="G22" i="7"/>
  <c r="G20" i="7"/>
  <c r="G19" i="7"/>
  <c r="G18" i="7"/>
  <c r="G17" i="7"/>
  <c r="G16" i="7"/>
  <c r="G15" i="7"/>
  <c r="G14" i="7"/>
  <c r="G13" i="7"/>
  <c r="G12" i="7"/>
  <c r="G11" i="7"/>
  <c r="G108" i="7" l="1"/>
  <c r="G107" i="7"/>
  <c r="G105" i="7"/>
  <c r="G104" i="7"/>
  <c r="G103" i="7"/>
  <c r="G101" i="7"/>
  <c r="G99" i="7"/>
  <c r="G97" i="7"/>
  <c r="G96" i="7"/>
  <c r="G94" i="7"/>
  <c r="G92" i="7"/>
  <c r="G90" i="7"/>
  <c r="G89" i="7"/>
  <c r="G87" i="7"/>
  <c r="G86" i="7"/>
  <c r="G85" i="7"/>
  <c r="G79" i="7"/>
  <c r="G76" i="7"/>
  <c r="G75" i="7"/>
  <c r="G73" i="7"/>
  <c r="G72" i="7"/>
  <c r="G70" i="7"/>
  <c r="G68" i="7"/>
  <c r="G66" i="7"/>
  <c r="G64" i="7"/>
  <c r="G63" i="7"/>
  <c r="G62" i="7"/>
  <c r="G61" i="7" l="1"/>
  <c r="H61" i="7"/>
  <c r="G60" i="7"/>
  <c r="G59" i="7"/>
  <c r="H59" i="7" s="1"/>
  <c r="G58" i="7"/>
  <c r="H58" i="7"/>
  <c r="G57" i="7"/>
  <c r="H108" i="7"/>
  <c r="F108" i="7"/>
  <c r="H107" i="7"/>
  <c r="F107" i="7"/>
  <c r="H105" i="7"/>
  <c r="F105" i="7"/>
  <c r="F104" i="7"/>
  <c r="H104" i="7" s="1"/>
  <c r="H103" i="7"/>
  <c r="F103" i="7"/>
  <c r="H101" i="7"/>
  <c r="F101" i="7"/>
  <c r="H99" i="7"/>
  <c r="F99" i="7"/>
  <c r="F97" i="7"/>
  <c r="H97" i="7" s="1"/>
  <c r="H96" i="7"/>
  <c r="F96" i="7"/>
  <c r="H94" i="7"/>
  <c r="F94" i="7"/>
  <c r="H92" i="7"/>
  <c r="F92" i="7"/>
  <c r="F90" i="7"/>
  <c r="H89" i="7"/>
  <c r="F89" i="7"/>
  <c r="F87" i="7"/>
  <c r="H87" i="7" s="1"/>
  <c r="F86" i="7"/>
  <c r="H86" i="7" s="1"/>
  <c r="F85" i="7"/>
  <c r="H85" i="7" s="1"/>
  <c r="F83" i="7"/>
  <c r="F81" i="7"/>
  <c r="F79" i="7"/>
  <c r="H79" i="7" s="1"/>
  <c r="F78" i="7"/>
  <c r="F77" i="7"/>
  <c r="F76" i="7"/>
  <c r="H76" i="7" s="1"/>
  <c r="H75" i="7"/>
  <c r="F75" i="7"/>
  <c r="F73" i="7"/>
  <c r="H73" i="7" s="1"/>
  <c r="F72" i="7"/>
  <c r="H72" i="7" s="1"/>
  <c r="F70" i="7"/>
  <c r="H70" i="7" s="1"/>
  <c r="F69" i="7"/>
  <c r="H68" i="7"/>
  <c r="F68" i="7"/>
  <c r="H66" i="7"/>
  <c r="F66" i="7"/>
  <c r="H65" i="7"/>
  <c r="F65" i="7"/>
  <c r="F64" i="7"/>
  <c r="H64" i="7" s="1"/>
  <c r="H63" i="7"/>
  <c r="F63" i="7"/>
  <c r="H62" i="7"/>
  <c r="F62" i="7"/>
  <c r="F61" i="7"/>
  <c r="F60" i="7"/>
  <c r="F59" i="7"/>
  <c r="F58" i="7"/>
  <c r="H57" i="7"/>
  <c r="F57" i="7"/>
  <c r="F56" i="7"/>
  <c r="H56" i="7" s="1"/>
  <c r="H49" i="7"/>
  <c r="H47" i="7"/>
  <c r="H44" i="7"/>
  <c r="H43" i="7"/>
  <c r="H42" i="7"/>
  <c r="H41" i="7"/>
  <c r="H39" i="7"/>
  <c r="H37" i="7"/>
  <c r="H34" i="7"/>
  <c r="H32" i="7"/>
  <c r="H31" i="7"/>
  <c r="H30" i="7"/>
  <c r="H29" i="7"/>
  <c r="H28" i="7"/>
  <c r="H27" i="7"/>
  <c r="H26" i="7"/>
  <c r="H25" i="7"/>
  <c r="H23" i="7"/>
  <c r="H22" i="7"/>
  <c r="H20" i="7"/>
  <c r="H19" i="7"/>
  <c r="H18" i="7"/>
  <c r="H17" i="7"/>
  <c r="H16" i="7"/>
  <c r="H15" i="7"/>
  <c r="H14" i="7"/>
  <c r="H13" i="7"/>
  <c r="H12" i="7"/>
  <c r="H11" i="7"/>
  <c r="H60" i="7" l="1"/>
  <c r="H108" i="6"/>
  <c r="F108" i="6"/>
  <c r="H107" i="6"/>
  <c r="F107" i="6"/>
  <c r="H105" i="6"/>
  <c r="F105" i="6"/>
  <c r="H104" i="6"/>
  <c r="F104" i="6"/>
  <c r="H103" i="6"/>
  <c r="F103" i="6"/>
  <c r="H101" i="6"/>
  <c r="F101" i="6"/>
  <c r="H99" i="6"/>
  <c r="F99" i="6"/>
  <c r="H97" i="6"/>
  <c r="F97" i="6"/>
  <c r="H96" i="6"/>
  <c r="F96" i="6"/>
  <c r="H94" i="6"/>
  <c r="F94" i="6"/>
  <c r="H92" i="6"/>
  <c r="F92" i="6"/>
  <c r="F90" i="6"/>
  <c r="F89" i="6"/>
  <c r="H89" i="6" s="1"/>
  <c r="F87" i="6"/>
  <c r="H87" i="6" s="1"/>
  <c r="F86" i="6"/>
  <c r="H86" i="6" s="1"/>
  <c r="F85" i="6"/>
  <c r="H85" i="6" s="1"/>
  <c r="F83" i="6"/>
  <c r="F81" i="6"/>
  <c r="F79" i="6"/>
  <c r="H79" i="6" s="1"/>
  <c r="F78" i="6"/>
  <c r="F77" i="6"/>
  <c r="F76" i="6"/>
  <c r="H76" i="6" s="1"/>
  <c r="F75" i="6"/>
  <c r="H75" i="6" s="1"/>
  <c r="F73" i="6"/>
  <c r="H73" i="6" s="1"/>
  <c r="F72" i="6"/>
  <c r="H72" i="6" s="1"/>
  <c r="F70" i="6"/>
  <c r="H70" i="6" s="1"/>
  <c r="F69" i="6"/>
  <c r="H68" i="6"/>
  <c r="F68" i="6"/>
  <c r="H66" i="6"/>
  <c r="F66" i="6"/>
  <c r="F65" i="6"/>
  <c r="F64" i="6"/>
  <c r="H64" i="6" s="1"/>
  <c r="F63" i="6"/>
  <c r="H63" i="6" s="1"/>
  <c r="F62" i="6"/>
  <c r="H62" i="6" s="1"/>
  <c r="F61" i="6"/>
  <c r="H61" i="6" s="1"/>
  <c r="F60" i="6"/>
  <c r="H60" i="6" s="1"/>
  <c r="F59" i="6"/>
  <c r="H59" i="6" s="1"/>
  <c r="F58" i="6"/>
  <c r="H58" i="6" s="1"/>
  <c r="F57" i="6"/>
  <c r="H57" i="6" s="1"/>
  <c r="F56" i="6"/>
  <c r="H56" i="6" s="1"/>
  <c r="H49" i="6"/>
  <c r="H47" i="6"/>
  <c r="H46" i="6"/>
  <c r="H44" i="6"/>
  <c r="H43" i="6"/>
  <c r="H42" i="6"/>
  <c r="H41" i="6"/>
  <c r="H39" i="6"/>
  <c r="H37" i="6"/>
  <c r="H34" i="6"/>
  <c r="H32" i="6"/>
  <c r="H30" i="6"/>
  <c r="H29" i="6"/>
  <c r="H28" i="6"/>
  <c r="H27" i="6"/>
  <c r="H26" i="6"/>
  <c r="H25" i="6"/>
  <c r="H23" i="6"/>
  <c r="H22" i="6"/>
  <c r="H21" i="6"/>
  <c r="H20" i="6"/>
  <c r="H19" i="6"/>
  <c r="H17" i="6"/>
  <c r="H16" i="6"/>
  <c r="H15" i="6"/>
  <c r="H14" i="6"/>
  <c r="H13" i="6"/>
  <c r="H12" i="6"/>
  <c r="H11" i="6"/>
  <c r="H65" i="5" l="1"/>
  <c r="H31" i="5" l="1"/>
  <c r="H18" i="5"/>
  <c r="H11" i="5"/>
  <c r="H47" i="5" l="1"/>
  <c r="H27" i="5"/>
  <c r="H17" i="5"/>
  <c r="F108" i="5"/>
  <c r="H108" i="5" s="1"/>
  <c r="F107" i="5"/>
  <c r="H107" i="5" s="1"/>
  <c r="F105" i="5"/>
  <c r="H105" i="5" s="1"/>
  <c r="F104" i="5"/>
  <c r="H104" i="5" s="1"/>
  <c r="F103" i="5"/>
  <c r="H103" i="5" s="1"/>
  <c r="F101" i="5"/>
  <c r="H101" i="5" s="1"/>
  <c r="F99" i="5"/>
  <c r="H99" i="5" s="1"/>
  <c r="F97" i="5"/>
  <c r="H97" i="5" s="1"/>
  <c r="F96" i="5"/>
  <c r="H96" i="5" s="1"/>
  <c r="F94" i="5"/>
  <c r="H94" i="5" s="1"/>
  <c r="F92" i="5"/>
  <c r="H92" i="5" s="1"/>
  <c r="F90" i="5"/>
  <c r="H89" i="5"/>
  <c r="F89" i="5"/>
  <c r="H87" i="5"/>
  <c r="F87" i="5"/>
  <c r="H86" i="5"/>
  <c r="F86" i="5"/>
  <c r="H85" i="5"/>
  <c r="F85" i="5"/>
  <c r="F83" i="5"/>
  <c r="F81" i="5"/>
  <c r="H79" i="5"/>
  <c r="F79" i="5"/>
  <c r="F78" i="5"/>
  <c r="F77" i="5"/>
  <c r="H76" i="5"/>
  <c r="F76" i="5"/>
  <c r="H75" i="5"/>
  <c r="F75" i="5"/>
  <c r="H73" i="5"/>
  <c r="F73" i="5"/>
  <c r="H72" i="5"/>
  <c r="F72" i="5"/>
  <c r="H70" i="5"/>
  <c r="F70" i="5"/>
  <c r="F69" i="5"/>
  <c r="F68" i="5"/>
  <c r="H68" i="5" s="1"/>
  <c r="F66" i="5"/>
  <c r="H66" i="5" s="1"/>
  <c r="F65" i="5"/>
  <c r="F64" i="5"/>
  <c r="H64" i="5" s="1"/>
  <c r="F63" i="5"/>
  <c r="H63" i="5" s="1"/>
  <c r="F62" i="5"/>
  <c r="H62" i="5" s="1"/>
  <c r="F61" i="5"/>
  <c r="H61" i="5" s="1"/>
  <c r="F60" i="5"/>
  <c r="H60" i="5" s="1"/>
  <c r="F59" i="5"/>
  <c r="H59" i="5" s="1"/>
  <c r="F58" i="5"/>
  <c r="H58" i="5" s="1"/>
  <c r="F57" i="5"/>
  <c r="H57" i="5" s="1"/>
  <c r="F56" i="5"/>
  <c r="H56" i="5" s="1"/>
  <c r="H49" i="5"/>
  <c r="H44" i="5"/>
  <c r="H43" i="5"/>
  <c r="H42" i="5"/>
  <c r="H41" i="5"/>
  <c r="H39" i="5"/>
  <c r="H37" i="5"/>
  <c r="H34" i="5"/>
  <c r="H32" i="5"/>
  <c r="H30" i="5"/>
  <c r="H29" i="5"/>
  <c r="H28" i="5"/>
  <c r="H26" i="5"/>
  <c r="H25" i="5"/>
  <c r="H23" i="5"/>
  <c r="H22" i="5"/>
  <c r="H20" i="5"/>
  <c r="H19" i="5"/>
  <c r="H16" i="5"/>
  <c r="H15" i="5"/>
  <c r="H14" i="5"/>
  <c r="H13" i="5"/>
  <c r="H12" i="5"/>
  <c r="H32" i="4" l="1"/>
  <c r="F108" i="4"/>
  <c r="H108" i="4" s="1"/>
  <c r="F107" i="4"/>
  <c r="H107" i="4" s="1"/>
  <c r="F105" i="4"/>
  <c r="H105" i="4" s="1"/>
  <c r="F104" i="4"/>
  <c r="H104" i="4" s="1"/>
  <c r="F103" i="4"/>
  <c r="H103" i="4" s="1"/>
  <c r="F101" i="4"/>
  <c r="H101" i="4" s="1"/>
  <c r="F99" i="4"/>
  <c r="H99" i="4" s="1"/>
  <c r="F97" i="4"/>
  <c r="H97" i="4" s="1"/>
  <c r="F96" i="4"/>
  <c r="H96" i="4" s="1"/>
  <c r="F94" i="4"/>
  <c r="H94" i="4" s="1"/>
  <c r="F92" i="4"/>
  <c r="H92" i="4" s="1"/>
  <c r="F90" i="4"/>
  <c r="F89" i="4"/>
  <c r="H89" i="4" s="1"/>
  <c r="F87" i="4"/>
  <c r="H87" i="4" s="1"/>
  <c r="F86" i="4"/>
  <c r="H86" i="4" s="1"/>
  <c r="F85" i="4"/>
  <c r="H85" i="4" s="1"/>
  <c r="F83" i="4"/>
  <c r="F81" i="4"/>
  <c r="F79" i="4"/>
  <c r="H79" i="4" s="1"/>
  <c r="F78" i="4"/>
  <c r="F77" i="4"/>
  <c r="F76" i="4"/>
  <c r="H76" i="4" s="1"/>
  <c r="F75" i="4"/>
  <c r="H75" i="4" s="1"/>
  <c r="F73" i="4"/>
  <c r="H73" i="4" s="1"/>
  <c r="F72" i="4"/>
  <c r="H72" i="4" s="1"/>
  <c r="F70" i="4"/>
  <c r="H70" i="4" s="1"/>
  <c r="F69" i="4"/>
  <c r="H68" i="4"/>
  <c r="F68" i="4"/>
  <c r="H66" i="4"/>
  <c r="F66" i="4"/>
  <c r="H65" i="4"/>
  <c r="F65" i="4"/>
  <c r="H64" i="4"/>
  <c r="F64" i="4"/>
  <c r="H63" i="4"/>
  <c r="F63" i="4"/>
  <c r="H62" i="4"/>
  <c r="F62" i="4"/>
  <c r="H61" i="4"/>
  <c r="F61" i="4"/>
  <c r="H60" i="4"/>
  <c r="F60" i="4"/>
  <c r="H59" i="4"/>
  <c r="F59" i="4"/>
  <c r="H58" i="4"/>
  <c r="F58" i="4"/>
  <c r="H57" i="4"/>
  <c r="F57" i="4"/>
  <c r="H56" i="4"/>
  <c r="F56" i="4"/>
  <c r="H49" i="4"/>
  <c r="H46" i="4"/>
  <c r="H44" i="4"/>
  <c r="H43" i="4"/>
  <c r="H42" i="4"/>
  <c r="H41" i="4"/>
  <c r="H39" i="4"/>
  <c r="H37" i="4"/>
  <c r="H34" i="4"/>
  <c r="H33" i="4"/>
  <c r="H31" i="4"/>
  <c r="H30" i="4"/>
  <c r="H29" i="4"/>
  <c r="H28" i="4"/>
  <c r="H26" i="4"/>
  <c r="H25" i="4"/>
  <c r="H23" i="4"/>
  <c r="H22" i="4"/>
  <c r="H20" i="4"/>
  <c r="H19" i="4"/>
  <c r="H16" i="4"/>
  <c r="H15" i="4"/>
  <c r="H14" i="4"/>
  <c r="H13" i="4"/>
  <c r="H12" i="4"/>
  <c r="H11" i="4"/>
  <c r="H57" i="1" l="1"/>
  <c r="H58" i="1"/>
  <c r="H59" i="1"/>
  <c r="H60" i="1"/>
  <c r="H61" i="1"/>
  <c r="H62" i="1"/>
  <c r="H63" i="1"/>
  <c r="H64" i="1"/>
  <c r="H65" i="1"/>
  <c r="H66" i="1"/>
  <c r="H68" i="1"/>
  <c r="H70" i="1"/>
  <c r="H72" i="1"/>
  <c r="H73" i="1"/>
  <c r="H75" i="1"/>
  <c r="H76" i="1"/>
  <c r="H79" i="1"/>
  <c r="H85" i="1"/>
  <c r="H86" i="1"/>
  <c r="H87" i="1"/>
  <c r="H89" i="1"/>
  <c r="H90" i="1"/>
  <c r="H92" i="1"/>
  <c r="H94" i="1"/>
  <c r="H96" i="1"/>
  <c r="H97" i="1"/>
  <c r="H99" i="1"/>
  <c r="H101" i="1"/>
  <c r="H103" i="1"/>
  <c r="H104" i="1"/>
  <c r="H105" i="1"/>
  <c r="H107" i="1"/>
  <c r="H108" i="1"/>
  <c r="H56" i="1"/>
  <c r="H12" i="1"/>
  <c r="H13" i="1"/>
  <c r="H14" i="1"/>
  <c r="H15" i="1"/>
  <c r="H16" i="1"/>
  <c r="H19" i="1"/>
  <c r="H20" i="1"/>
  <c r="H22" i="1"/>
  <c r="H23" i="1"/>
  <c r="H25" i="1"/>
  <c r="H26" i="1"/>
  <c r="H28" i="1"/>
  <c r="H29" i="1"/>
  <c r="H30" i="1"/>
  <c r="H31" i="1"/>
  <c r="H33" i="1"/>
  <c r="H34" i="1"/>
  <c r="H37" i="1"/>
  <c r="H39" i="1"/>
  <c r="H41" i="1"/>
  <c r="H42" i="1"/>
  <c r="H43" i="1"/>
  <c r="H44" i="1"/>
  <c r="H46" i="1"/>
  <c r="H49" i="1"/>
  <c r="H11" i="1"/>
  <c r="F108" i="1"/>
  <c r="F107" i="1"/>
  <c r="F105" i="1"/>
  <c r="F104" i="1"/>
  <c r="F103" i="1"/>
  <c r="F101" i="1"/>
  <c r="F99" i="1"/>
  <c r="F97" i="1"/>
  <c r="F96" i="1"/>
  <c r="F94" i="1"/>
  <c r="F92" i="1"/>
  <c r="F90" i="1"/>
  <c r="F89" i="1"/>
  <c r="F87" i="1"/>
  <c r="F86" i="1"/>
  <c r="F85" i="1"/>
  <c r="F83" i="1"/>
  <c r="F81" i="1"/>
  <c r="F79" i="1"/>
  <c r="F78" i="1"/>
  <c r="F77" i="1"/>
  <c r="F76" i="1"/>
  <c r="F75" i="1"/>
  <c r="F73" i="1"/>
  <c r="F72" i="1"/>
  <c r="F70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</calcChain>
</file>

<file path=xl/comments1.xml><?xml version="1.0" encoding="utf-8"?>
<comments xmlns="http://schemas.openxmlformats.org/spreadsheetml/2006/main">
  <authors>
    <author>Режим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расход за месяц делим на кол-во часов в месяце и делим на 1000</t>
        </r>
      </text>
    </comment>
  </commentList>
</comments>
</file>

<file path=xl/comments2.xml><?xml version="1.0" encoding="utf-8"?>
<comments xmlns="http://schemas.openxmlformats.org/spreadsheetml/2006/main">
  <authors>
    <author>Режим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расход за месяц делим на кол-во часов в месяце и делим на 1000</t>
        </r>
      </text>
    </comment>
    <comment ref="G14" author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Л-116
</t>
        </r>
      </text>
    </comment>
    <comment ref="G15" author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Л-115
</t>
        </r>
      </text>
    </comment>
    <comment ref="G39" author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Л-45
</t>
        </r>
      </text>
    </comment>
    <comment ref="G42" author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Л-91</t>
        </r>
      </text>
    </comment>
    <comment ref="G64" author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с баланса по Балхашской</t>
        </r>
      </text>
    </comment>
    <comment ref="G105" author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пс 4-110</t>
        </r>
      </text>
    </comment>
  </commentList>
</comments>
</file>

<file path=xl/comments3.xml><?xml version="1.0" encoding="utf-8"?>
<comments xmlns="http://schemas.openxmlformats.org/spreadsheetml/2006/main">
  <authors>
    <author>Режим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расход за месяц делим на кол-во часов в месяце и делим на 1000</t>
        </r>
      </text>
    </comment>
    <comment ref="G14" author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Л-116
</t>
        </r>
      </text>
    </comment>
    <comment ref="G15" author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Л-115
</t>
        </r>
      </text>
    </comment>
    <comment ref="G39" author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Л-45
</t>
        </r>
      </text>
    </comment>
    <comment ref="G42" author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Л-91</t>
        </r>
      </text>
    </comment>
    <comment ref="G64" author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с баланса по Балхашской</t>
        </r>
      </text>
    </comment>
    <comment ref="G105" author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пс 4-110</t>
        </r>
      </text>
    </comment>
  </commentList>
</comments>
</file>

<file path=xl/comments4.xml><?xml version="1.0" encoding="utf-8"?>
<comments xmlns="http://schemas.openxmlformats.org/spreadsheetml/2006/main">
  <authors>
    <author>РСГ2</author>
    <author>Режим</author>
  </authors>
  <commentList>
    <comment ref="B9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расход по верхним кайрактам</t>
        </r>
      </text>
    </comment>
    <comment ref="G11" authorId="1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расход за месяц делим на кол-во часов в месяце и делим на 1000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Вв-110 кВ(если они мало накрутили беру сумму 35+10кВ</t>
        </r>
      </text>
    </comment>
    <comment ref="G14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Л-116
</t>
        </r>
      </text>
    </comment>
    <comment ref="G15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Л-115
</t>
        </r>
      </text>
    </comment>
    <comment ref="G16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110 кВ</t>
        </r>
      </text>
    </comment>
    <comment ref="G17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35+10 кВ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Вв-10 кВ</t>
        </r>
      </text>
    </comment>
    <comment ref="G39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Л-45
</t>
        </r>
      </text>
    </comment>
    <comment ref="G42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Л-91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номинальный ток</t>
        </r>
      </text>
    </comment>
    <comment ref="G64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с баланса по Балхашской</t>
        </r>
      </text>
    </comment>
    <comment ref="G105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пс 4-110</t>
        </r>
      </text>
    </comment>
  </commentList>
</comments>
</file>

<file path=xl/comments5.xml><?xml version="1.0" encoding="utf-8"?>
<comments xmlns="http://schemas.openxmlformats.org/spreadsheetml/2006/main">
  <authors>
    <author>РСГ2</author>
    <author>Режим</author>
  </authors>
  <commentList>
    <comment ref="B9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расход по верхним кайрактам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Вв-110 кВ(если они мало накрутили беру сумму 35+10кВ</t>
        </r>
      </text>
    </comment>
    <comment ref="G14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Л-116
</t>
        </r>
      </text>
    </comment>
    <comment ref="G15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Л-115
</t>
        </r>
      </text>
    </comment>
    <comment ref="G16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110 кВ</t>
        </r>
      </text>
    </comment>
    <comment ref="G17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35+10 кВ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Вв-10 кВ</t>
        </r>
      </text>
    </comment>
    <comment ref="G39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Л-45
</t>
        </r>
      </text>
    </comment>
    <comment ref="G42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Л-91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номинальный ток</t>
        </r>
      </text>
    </comment>
    <comment ref="G64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с баланса по Балхашской</t>
        </r>
      </text>
    </comment>
    <comment ref="G105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пс 4-110</t>
        </r>
      </text>
    </comment>
  </commentList>
</comments>
</file>

<file path=xl/comments6.xml><?xml version="1.0" encoding="utf-8"?>
<comments xmlns="http://schemas.openxmlformats.org/spreadsheetml/2006/main">
  <authors>
    <author>РСГ2</author>
    <author>Режим</author>
  </authors>
  <commentList>
    <comment ref="B9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расход по верхним кайрактам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Вв-110 кВ(если они мало накрутили беру сумму 35+10кВ</t>
        </r>
      </text>
    </comment>
    <comment ref="G14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Л-116
</t>
        </r>
      </text>
    </comment>
    <comment ref="G15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Л-115
</t>
        </r>
      </text>
    </comment>
    <comment ref="G16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110 кВ</t>
        </r>
      </text>
    </comment>
    <comment ref="G17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35+10 кВ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Вв-10 кВ</t>
        </r>
      </text>
    </comment>
    <comment ref="G39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Л-45
</t>
        </r>
      </text>
    </comment>
    <comment ref="G42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Л-91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номинальный ток</t>
        </r>
      </text>
    </comment>
    <comment ref="G64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с баланса по Балхашской</t>
        </r>
      </text>
    </comment>
    <comment ref="G105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пс 4-110</t>
        </r>
      </text>
    </comment>
  </commentList>
</comments>
</file>

<file path=xl/sharedStrings.xml><?xml version="1.0" encoding="utf-8"?>
<sst xmlns="http://schemas.openxmlformats.org/spreadsheetml/2006/main" count="1428" uniqueCount="130">
  <si>
    <t>Приложение № 2</t>
  </si>
  <si>
    <t>Форма</t>
  </si>
  <si>
    <t>Информация о пропускной способности энергопередающей организации</t>
  </si>
  <si>
    <t>Таблица 1:</t>
  </si>
  <si>
    <t>п/п №</t>
  </si>
  <si>
    <t xml:space="preserve">Наименование ПС </t>
  </si>
  <si>
    <t>№ ввода</t>
  </si>
  <si>
    <t>Адрес нахождения</t>
  </si>
  <si>
    <t>Уровень напряжения, кВ</t>
  </si>
  <si>
    <t>Мощность трансформатора, кВА</t>
  </si>
  <si>
    <t>Свободная мощность, МВт</t>
  </si>
  <si>
    <t>ПС  СТРОИТЕЛЬН.</t>
  </si>
  <si>
    <t>Т - 1</t>
  </si>
  <si>
    <t>Т - 2</t>
  </si>
  <si>
    <t>Т - 3</t>
  </si>
  <si>
    <t>ПС  1 - 110</t>
  </si>
  <si>
    <t>ПС  2 - 110</t>
  </si>
  <si>
    <t>ПС  3 - 110</t>
  </si>
  <si>
    <t>ПС  4 - 110</t>
  </si>
  <si>
    <t>ПС  5 - 110</t>
  </si>
  <si>
    <t>ПС  6 - 110</t>
  </si>
  <si>
    <t>ПС  7 - 110</t>
  </si>
  <si>
    <t>ПС  9 - 110</t>
  </si>
  <si>
    <t>ПС  10 - 110</t>
  </si>
  <si>
    <t>ПС  11 - 110</t>
  </si>
  <si>
    <t>ПС  13 - 110</t>
  </si>
  <si>
    <t>ПС  16 - 110</t>
  </si>
  <si>
    <t>ПС  17 - 110</t>
  </si>
  <si>
    <t>ПС  18 - 110</t>
  </si>
  <si>
    <t>ПС  БЕСКЕМПИР</t>
  </si>
  <si>
    <t>ПС  2 - 35</t>
  </si>
  <si>
    <t>ПС  9 - 35</t>
  </si>
  <si>
    <t>ПС  15 - 35</t>
  </si>
  <si>
    <t>ПС  17 - 35</t>
  </si>
  <si>
    <t>ПС  20 - 35</t>
  </si>
  <si>
    <t>ПС  21 - 35</t>
  </si>
  <si>
    <t>ПС  24 - 35</t>
  </si>
  <si>
    <t>ПС  25 - 35</t>
  </si>
  <si>
    <t>ПС  51 - 35</t>
  </si>
  <si>
    <t>ПС  МЫН - АРАЛ</t>
  </si>
  <si>
    <t>220/35/6</t>
  </si>
  <si>
    <t>35/6</t>
  </si>
  <si>
    <t>110/10</t>
  </si>
  <si>
    <t>110/35/10</t>
  </si>
  <si>
    <t>110/35/11</t>
  </si>
  <si>
    <t>35/10</t>
  </si>
  <si>
    <t>10/0,23</t>
  </si>
  <si>
    <t>10/6</t>
  </si>
  <si>
    <t>Таблица 2:</t>
  </si>
  <si>
    <t xml:space="preserve">Наименование ВЛ </t>
  </si>
  <si>
    <t>Протяженность ВЛ, км</t>
  </si>
  <si>
    <t>Сечение ВЛ, мм</t>
  </si>
  <si>
    <t>Номинальная пропускная способность, МВт</t>
  </si>
  <si>
    <t>ПС Балхашская</t>
  </si>
  <si>
    <t>Л-103</t>
  </si>
  <si>
    <t>Л-104</t>
  </si>
  <si>
    <t>Л-105</t>
  </si>
  <si>
    <t>Л-106</t>
  </si>
  <si>
    <t>Л-107</t>
  </si>
  <si>
    <t>Л-110</t>
  </si>
  <si>
    <t>Л-111</t>
  </si>
  <si>
    <t>Л-117</t>
  </si>
  <si>
    <t>Л-130</t>
  </si>
  <si>
    <t>Л-54</t>
  </si>
  <si>
    <t>ПС Акчатау</t>
  </si>
  <si>
    <t>Л-120</t>
  </si>
  <si>
    <t>Л-122</t>
  </si>
  <si>
    <t>Л-124</t>
  </si>
  <si>
    <t>ПС Агадырь</t>
  </si>
  <si>
    <t>Л-126</t>
  </si>
  <si>
    <t>Л-55А</t>
  </si>
  <si>
    <t>ПС Кайракты</t>
  </si>
  <si>
    <t>Л-В.Кайракты</t>
  </si>
  <si>
    <t>Л-49</t>
  </si>
  <si>
    <t>Л-55</t>
  </si>
  <si>
    <t>Л-56</t>
  </si>
  <si>
    <t>Л-57</t>
  </si>
  <si>
    <t>ПС Жарык сетевая</t>
  </si>
  <si>
    <t>Л-57А</t>
  </si>
  <si>
    <t>ПС Бескемпир</t>
  </si>
  <si>
    <t>отпайка от Л-140</t>
  </si>
  <si>
    <t>ПС Моинты</t>
  </si>
  <si>
    <t>Л-128</t>
  </si>
  <si>
    <t>Л-81</t>
  </si>
  <si>
    <t>ПС 18-110 "Аксу-Аюлы"</t>
  </si>
  <si>
    <t>Л-129</t>
  </si>
  <si>
    <t>Л-51А</t>
  </si>
  <si>
    <t>ПС Саяк</t>
  </si>
  <si>
    <t>Л-85</t>
  </si>
  <si>
    <t>ПС 16-110 "Свинокомплекс"</t>
  </si>
  <si>
    <t>Л-92</t>
  </si>
  <si>
    <t>ПС 2-110</t>
  </si>
  <si>
    <t>Л-46</t>
  </si>
  <si>
    <t>Л-91</t>
  </si>
  <si>
    <t>ПС 3-110</t>
  </si>
  <si>
    <t>Л-45</t>
  </si>
  <si>
    <t>ПС 5-110</t>
  </si>
  <si>
    <t>Л-34</t>
  </si>
  <si>
    <t>ПС 1-110</t>
  </si>
  <si>
    <t>Л-37</t>
  </si>
  <si>
    <t>Л-38</t>
  </si>
  <si>
    <t>Л-39</t>
  </si>
  <si>
    <t>ПС 9-110 "Актогай"</t>
  </si>
  <si>
    <t>Л-71</t>
  </si>
  <si>
    <t>Л-74</t>
  </si>
  <si>
    <t>Л-118</t>
  </si>
  <si>
    <t>РЕЗЕРВ</t>
  </si>
  <si>
    <t>искл. из схемы</t>
  </si>
  <si>
    <t>70, 120</t>
  </si>
  <si>
    <t>150 , 70</t>
  </si>
  <si>
    <t xml:space="preserve">Шетский район  </t>
  </si>
  <si>
    <t>город Приозерск</t>
  </si>
  <si>
    <t>Балхаш 9</t>
  </si>
  <si>
    <t>Поселок Жамши</t>
  </si>
  <si>
    <t>Поселок Актогай</t>
  </si>
  <si>
    <t>Поселок Орта-Дересин</t>
  </si>
  <si>
    <t>Поселок Акжартас</t>
  </si>
  <si>
    <t>Город Балхаш</t>
  </si>
  <si>
    <t>Поселок Озерный Актогайск.район</t>
  </si>
  <si>
    <t>Поселок Шетск</t>
  </si>
  <si>
    <t>Поселок Гульшад</t>
  </si>
  <si>
    <t>Поселок Чубар-Тюбек</t>
  </si>
  <si>
    <t>Поселок Торангылык</t>
  </si>
  <si>
    <t>Поселок Тасарал</t>
  </si>
  <si>
    <t>Поселок Алгазы</t>
  </si>
  <si>
    <t>Джамбульская обл.</t>
  </si>
  <si>
    <t>Актогайский район</t>
  </si>
  <si>
    <t>Джамбульская обл.Маинкумский район</t>
  </si>
  <si>
    <t>Загрузка, март МВт</t>
  </si>
  <si>
    <t>Загрузка, март,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</si>
</sst>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\ _₽_-;\-* #,##0.000\ _₽_-;_-* &quot;-&quot;??\ _₽_-;_-@_-"/>
    <numFmt numFmtId="166" formatCode="_-* #,##0.000_р_._-;\-* #,##0.000_р_._-;_-* &quot;-&quot;??_р_._-;_-@_-"/>
    <numFmt numFmtId="167" formatCode="_-* #,##0\ _₽_-;\-* #,##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/>
    <xf numFmtId="0" fontId="2" fillId="2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3" fontId="3" fillId="0" borderId="5" xfId="1" applyFont="1" applyBorder="1"/>
    <xf numFmtId="43" fontId="3" fillId="0" borderId="6" xfId="1" applyFont="1" applyBorder="1"/>
    <xf numFmtId="43" fontId="3" fillId="0" borderId="7" xfId="1" applyFont="1" applyBorder="1"/>
    <xf numFmtId="43" fontId="3" fillId="0" borderId="2" xfId="1" applyFont="1" applyBorder="1"/>
    <xf numFmtId="165" fontId="3" fillId="0" borderId="2" xfId="1" applyNumberFormat="1" applyFont="1" applyBorder="1" applyAlignment="1">
      <alignment horizontal="center" vertical="center" wrapText="1"/>
    </xf>
    <xf numFmtId="165" fontId="3" fillId="0" borderId="5" xfId="1" applyNumberFormat="1" applyFont="1" applyBorder="1"/>
    <xf numFmtId="165" fontId="3" fillId="0" borderId="6" xfId="1" applyNumberFormat="1" applyFont="1" applyBorder="1"/>
    <xf numFmtId="165" fontId="3" fillId="0" borderId="7" xfId="1" applyNumberFormat="1" applyFont="1" applyBorder="1"/>
    <xf numFmtId="165" fontId="3" fillId="0" borderId="3" xfId="1" applyNumberFormat="1" applyFont="1" applyBorder="1"/>
    <xf numFmtId="165" fontId="3" fillId="0" borderId="2" xfId="1" applyNumberFormat="1" applyFont="1" applyBorder="1"/>
    <xf numFmtId="165" fontId="3" fillId="0" borderId="0" xfId="1" applyNumberFormat="1" applyFont="1"/>
    <xf numFmtId="165" fontId="3" fillId="0" borderId="5" xfId="1" applyNumberFormat="1" applyFont="1" applyBorder="1" applyAlignment="1">
      <alignment horizontal="right"/>
    </xf>
    <xf numFmtId="165" fontId="3" fillId="0" borderId="6" xfId="1" applyNumberFormat="1" applyFont="1" applyBorder="1" applyAlignment="1">
      <alignment horizontal="right"/>
    </xf>
    <xf numFmtId="165" fontId="3" fillId="0" borderId="7" xfId="1" applyNumberFormat="1" applyFont="1" applyBorder="1" applyAlignment="1">
      <alignment horizontal="right"/>
    </xf>
    <xf numFmtId="165" fontId="3" fillId="0" borderId="3" xfId="1" applyNumberFormat="1" applyFont="1" applyBorder="1" applyAlignment="1">
      <alignment horizontal="right"/>
    </xf>
    <xf numFmtId="165" fontId="3" fillId="0" borderId="2" xfId="1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0" fontId="7" fillId="2" borderId="2" xfId="0" applyFont="1" applyFill="1" applyBorder="1" applyAlignment="1"/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166" fontId="2" fillId="2" borderId="5" xfId="2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166" fontId="2" fillId="2" borderId="6" xfId="2" applyNumberFormat="1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166" fontId="2" fillId="2" borderId="7" xfId="2" applyNumberFormat="1" applyFont="1" applyFill="1" applyBorder="1"/>
    <xf numFmtId="166" fontId="7" fillId="2" borderId="2" xfId="0" applyNumberFormat="1" applyFont="1" applyFill="1" applyBorder="1" applyAlignment="1"/>
    <xf numFmtId="0" fontId="2" fillId="2" borderId="2" xfId="0" applyFont="1" applyFill="1" applyBorder="1" applyAlignment="1">
      <alignment horizontal="center"/>
    </xf>
    <xf numFmtId="166" fontId="2" fillId="2" borderId="2" xfId="2" applyNumberFormat="1" applyFont="1" applyFill="1" applyBorder="1"/>
    <xf numFmtId="166" fontId="2" fillId="2" borderId="6" xfId="2" applyNumberFormat="1" applyFont="1" applyFill="1" applyBorder="1" applyAlignment="1">
      <alignment horizontal="right"/>
    </xf>
    <xf numFmtId="166" fontId="2" fillId="2" borderId="2" xfId="2" applyNumberFormat="1" applyFont="1" applyFill="1" applyBorder="1" applyAlignment="1">
      <alignment horizontal="right"/>
    </xf>
    <xf numFmtId="165" fontId="3" fillId="0" borderId="7" xfId="1" applyNumberFormat="1" applyFont="1" applyFill="1" applyBorder="1"/>
    <xf numFmtId="43" fontId="2" fillId="0" borderId="5" xfId="1" applyFont="1" applyFill="1" applyBorder="1"/>
    <xf numFmtId="43" fontId="2" fillId="0" borderId="6" xfId="1" applyFont="1" applyFill="1" applyBorder="1"/>
    <xf numFmtId="43" fontId="2" fillId="0" borderId="6" xfId="1" applyFont="1" applyFill="1" applyBorder="1" applyAlignment="1">
      <alignment horizontal="left"/>
    </xf>
    <xf numFmtId="43" fontId="2" fillId="0" borderId="7" xfId="1" applyFont="1" applyFill="1" applyBorder="1"/>
    <xf numFmtId="43" fontId="2" fillId="0" borderId="2" xfId="1" applyFont="1" applyFill="1" applyBorder="1"/>
    <xf numFmtId="43" fontId="2" fillId="0" borderId="5" xfId="1" applyFont="1" applyFill="1" applyBorder="1" applyAlignment="1">
      <alignment horizontal="left"/>
    </xf>
    <xf numFmtId="43" fontId="2" fillId="0" borderId="2" xfId="1" applyFont="1" applyFill="1" applyBorder="1" applyAlignment="1">
      <alignment horizontal="left"/>
    </xf>
    <xf numFmtId="43" fontId="2" fillId="0" borderId="7" xfId="1" applyFont="1" applyFill="1" applyBorder="1" applyAlignment="1">
      <alignment horizontal="left"/>
    </xf>
    <xf numFmtId="167" fontId="2" fillId="0" borderId="5" xfId="1" applyNumberFormat="1" applyFont="1" applyFill="1" applyBorder="1" applyAlignment="1">
      <alignment horizontal="center"/>
    </xf>
    <xf numFmtId="167" fontId="2" fillId="0" borderId="6" xfId="1" applyNumberFormat="1" applyFont="1" applyFill="1" applyBorder="1" applyAlignment="1">
      <alignment horizontal="center"/>
    </xf>
    <xf numFmtId="167" fontId="2" fillId="0" borderId="7" xfId="1" applyNumberFormat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167" fontId="3" fillId="0" borderId="7" xfId="1" applyNumberFormat="1" applyFont="1" applyBorder="1"/>
    <xf numFmtId="167" fontId="3" fillId="0" borderId="2" xfId="1" applyNumberFormat="1" applyFont="1" applyBorder="1"/>
    <xf numFmtId="167" fontId="3" fillId="0" borderId="5" xfId="1" applyNumberFormat="1" applyFont="1" applyBorder="1"/>
    <xf numFmtId="167" fontId="3" fillId="0" borderId="6" xfId="1" applyNumberFormat="1" applyFont="1" applyBorder="1"/>
    <xf numFmtId="0" fontId="2" fillId="0" borderId="3" xfId="0" applyFont="1" applyFill="1" applyBorder="1" applyAlignment="1">
      <alignment horizontal="center"/>
    </xf>
    <xf numFmtId="165" fontId="3" fillId="0" borderId="2" xfId="1" applyNumberFormat="1" applyFont="1" applyFill="1" applyBorder="1"/>
    <xf numFmtId="0" fontId="2" fillId="0" borderId="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66" fontId="2" fillId="2" borderId="7" xfId="2" applyNumberFormat="1" applyFont="1" applyFill="1" applyBorder="1" applyAlignment="1">
      <alignment horizontal="right"/>
    </xf>
    <xf numFmtId="165" fontId="3" fillId="0" borderId="3" xfId="1" applyNumberFormat="1" applyFont="1" applyFill="1" applyBorder="1"/>
    <xf numFmtId="165" fontId="3" fillId="0" borderId="5" xfId="1" applyNumberFormat="1" applyFont="1" applyFill="1" applyBorder="1"/>
    <xf numFmtId="0" fontId="7" fillId="0" borderId="2" xfId="0" applyFont="1" applyFill="1" applyBorder="1" applyAlignment="1"/>
    <xf numFmtId="43" fontId="3" fillId="0" borderId="7" xfId="1" applyFont="1" applyFill="1" applyBorder="1"/>
    <xf numFmtId="43" fontId="3" fillId="0" borderId="2" xfId="1" applyFont="1" applyFill="1" applyBorder="1"/>
    <xf numFmtId="43" fontId="3" fillId="0" borderId="5" xfId="1" applyFont="1" applyFill="1" applyBorder="1"/>
    <xf numFmtId="43" fontId="3" fillId="0" borderId="6" xfId="1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165" fontId="3" fillId="0" borderId="5" xfId="1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165" fontId="3" fillId="0" borderId="6" xfId="1" applyNumberFormat="1" applyFont="1" applyFill="1" applyBorder="1"/>
    <xf numFmtId="165" fontId="3" fillId="0" borderId="6" xfId="1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165" fontId="3" fillId="0" borderId="3" xfId="1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right"/>
    </xf>
    <xf numFmtId="49" fontId="3" fillId="0" borderId="7" xfId="0" applyNumberFormat="1" applyFont="1" applyFill="1" applyBorder="1" applyAlignment="1">
      <alignment horizontal="center"/>
    </xf>
    <xf numFmtId="166" fontId="2" fillId="0" borderId="5" xfId="2" applyNumberFormat="1" applyFont="1" applyFill="1" applyBorder="1"/>
    <xf numFmtId="166" fontId="2" fillId="0" borderId="6" xfId="2" applyNumberFormat="1" applyFont="1" applyFill="1" applyBorder="1"/>
    <xf numFmtId="166" fontId="2" fillId="0" borderId="7" xfId="2" applyNumberFormat="1" applyFont="1" applyFill="1" applyBorder="1"/>
    <xf numFmtId="166" fontId="7" fillId="0" borderId="2" xfId="0" applyNumberFormat="1" applyFont="1" applyFill="1" applyBorder="1" applyAlignment="1"/>
    <xf numFmtId="166" fontId="2" fillId="0" borderId="6" xfId="2" applyNumberFormat="1" applyFont="1" applyFill="1" applyBorder="1" applyAlignment="1">
      <alignment horizontal="right"/>
    </xf>
    <xf numFmtId="166" fontId="2" fillId="0" borderId="2" xfId="2" applyNumberFormat="1" applyFont="1" applyFill="1" applyBorder="1"/>
    <xf numFmtId="166" fontId="2" fillId="0" borderId="2" xfId="2" applyNumberFormat="1" applyFont="1" applyFill="1" applyBorder="1" applyAlignment="1">
      <alignment horizontal="right"/>
    </xf>
    <xf numFmtId="166" fontId="2" fillId="0" borderId="7" xfId="2" applyNumberFormat="1" applyFont="1" applyFill="1" applyBorder="1" applyAlignment="1">
      <alignment horizontal="right"/>
    </xf>
    <xf numFmtId="167" fontId="3" fillId="0" borderId="7" xfId="1" applyNumberFormat="1" applyFont="1" applyFill="1" applyBorder="1"/>
    <xf numFmtId="167" fontId="3" fillId="0" borderId="2" xfId="1" applyNumberFormat="1" applyFont="1" applyFill="1" applyBorder="1"/>
    <xf numFmtId="167" fontId="3" fillId="0" borderId="5" xfId="1" applyNumberFormat="1" applyFont="1" applyFill="1" applyBorder="1"/>
    <xf numFmtId="167" fontId="3" fillId="0" borderId="6" xfId="1" applyNumberFormat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8"/>
  <sheetViews>
    <sheetView topLeftCell="A91" workbookViewId="0">
      <selection activeCell="G94" sqref="G94"/>
    </sheetView>
  </sheetViews>
  <sheetFormatPr defaultRowHeight="15.75" x14ac:dyDescent="0.25"/>
  <cols>
    <col min="1" max="1" width="5.28515625" style="21" customWidth="1"/>
    <col min="2" max="2" width="20.5703125" style="1" bestFit="1" customWidth="1"/>
    <col min="3" max="3" width="11.5703125" style="1" customWidth="1"/>
    <col min="4" max="4" width="21" style="1" customWidth="1"/>
    <col min="5" max="5" width="14" style="21" customWidth="1"/>
    <col min="6" max="6" width="18.28515625" style="1" customWidth="1"/>
    <col min="7" max="7" width="11.7109375" style="33" customWidth="1"/>
    <col min="8" max="8" width="17.28515625" style="39" bestFit="1" customWidth="1"/>
    <col min="9" max="16384" width="9.140625" style="1"/>
  </cols>
  <sheetData>
    <row r="1" spans="1:8" x14ac:dyDescent="0.25">
      <c r="A1" s="115" t="s">
        <v>0</v>
      </c>
      <c r="B1" s="115"/>
      <c r="C1" s="115"/>
      <c r="D1" s="115"/>
      <c r="E1" s="115"/>
      <c r="F1" s="115"/>
      <c r="G1" s="115"/>
      <c r="H1" s="115"/>
    </row>
    <row r="2" spans="1:8" x14ac:dyDescent="0.25">
      <c r="A2" s="115" t="s">
        <v>1</v>
      </c>
      <c r="B2" s="115"/>
      <c r="C2" s="115"/>
      <c r="D2" s="115"/>
      <c r="E2" s="115"/>
      <c r="F2" s="115"/>
      <c r="G2" s="115"/>
      <c r="H2" s="115"/>
    </row>
    <row r="4" spans="1:8" x14ac:dyDescent="0.25">
      <c r="A4" s="115" t="s">
        <v>2</v>
      </c>
      <c r="B4" s="115"/>
      <c r="C4" s="115"/>
      <c r="D4" s="115"/>
      <c r="E4" s="115"/>
      <c r="F4" s="115"/>
      <c r="G4" s="115"/>
      <c r="H4" s="115"/>
    </row>
    <row r="6" spans="1:8" x14ac:dyDescent="0.25">
      <c r="A6" s="115" t="s">
        <v>3</v>
      </c>
      <c r="B6" s="115"/>
      <c r="C6" s="115"/>
      <c r="D6" s="115"/>
      <c r="E6" s="115"/>
      <c r="F6" s="115"/>
      <c r="G6" s="115"/>
      <c r="H6" s="115"/>
    </row>
    <row r="8" spans="1:8" s="2" customFormat="1" ht="47.25" x14ac:dyDescent="0.25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76" t="s">
        <v>9</v>
      </c>
      <c r="G8" s="27" t="s">
        <v>128</v>
      </c>
      <c r="H8" s="27" t="s">
        <v>10</v>
      </c>
    </row>
    <row r="9" spans="1:8" x14ac:dyDescent="0.25">
      <c r="A9" s="16">
        <v>1</v>
      </c>
      <c r="B9" s="9" t="s">
        <v>11</v>
      </c>
      <c r="C9" s="14" t="s">
        <v>12</v>
      </c>
      <c r="D9" s="14" t="s">
        <v>110</v>
      </c>
      <c r="E9" s="16" t="s">
        <v>40</v>
      </c>
      <c r="F9" s="14">
        <v>25000</v>
      </c>
      <c r="G9" s="28">
        <v>0</v>
      </c>
      <c r="H9" s="34" t="s">
        <v>106</v>
      </c>
    </row>
    <row r="10" spans="1:8" x14ac:dyDescent="0.25">
      <c r="A10" s="17"/>
      <c r="B10" s="10"/>
      <c r="C10" s="11" t="s">
        <v>13</v>
      </c>
      <c r="D10" s="11" t="s">
        <v>110</v>
      </c>
      <c r="E10" s="17" t="s">
        <v>40</v>
      </c>
      <c r="F10" s="11">
        <v>25000</v>
      </c>
      <c r="G10" s="29">
        <v>0</v>
      </c>
      <c r="H10" s="35" t="s">
        <v>106</v>
      </c>
    </row>
    <row r="11" spans="1:8" x14ac:dyDescent="0.25">
      <c r="A11" s="18"/>
      <c r="B11" s="12"/>
      <c r="C11" s="13" t="s">
        <v>14</v>
      </c>
      <c r="D11" s="13" t="s">
        <v>110</v>
      </c>
      <c r="E11" s="18" t="s">
        <v>41</v>
      </c>
      <c r="F11" s="13">
        <v>2500</v>
      </c>
      <c r="G11" s="30">
        <v>0.04</v>
      </c>
      <c r="H11" s="36">
        <f>F11/1000-G11</f>
        <v>2.46</v>
      </c>
    </row>
    <row r="12" spans="1:8" x14ac:dyDescent="0.25">
      <c r="A12" s="16">
        <v>2</v>
      </c>
      <c r="B12" s="9" t="s">
        <v>15</v>
      </c>
      <c r="C12" s="14" t="s">
        <v>12</v>
      </c>
      <c r="D12" s="14" t="s">
        <v>111</v>
      </c>
      <c r="E12" s="16" t="s">
        <v>43</v>
      </c>
      <c r="F12" s="14">
        <v>16000</v>
      </c>
      <c r="G12" s="28">
        <v>5.1539999999999999</v>
      </c>
      <c r="H12" s="34">
        <f t="shared" ref="H12:H49" si="0">F12/1000-G12</f>
        <v>10.846</v>
      </c>
    </row>
    <row r="13" spans="1:8" x14ac:dyDescent="0.25">
      <c r="A13" s="18"/>
      <c r="B13" s="12"/>
      <c r="C13" s="13" t="s">
        <v>13</v>
      </c>
      <c r="D13" s="13" t="s">
        <v>111</v>
      </c>
      <c r="E13" s="18" t="s">
        <v>43</v>
      </c>
      <c r="F13" s="13">
        <v>16000</v>
      </c>
      <c r="G13" s="30">
        <v>1.6859999999999999</v>
      </c>
      <c r="H13" s="36">
        <f t="shared" si="0"/>
        <v>14.314</v>
      </c>
    </row>
    <row r="14" spans="1:8" x14ac:dyDescent="0.25">
      <c r="A14" s="19">
        <v>3</v>
      </c>
      <c r="B14" s="7" t="s">
        <v>16</v>
      </c>
      <c r="C14" s="72" t="s">
        <v>12</v>
      </c>
      <c r="D14" s="15" t="s">
        <v>110</v>
      </c>
      <c r="E14" s="19" t="s">
        <v>43</v>
      </c>
      <c r="F14" s="15">
        <v>10000</v>
      </c>
      <c r="G14" s="31">
        <v>0.14599999999999999</v>
      </c>
      <c r="H14" s="37">
        <f t="shared" si="0"/>
        <v>9.8539999999999992</v>
      </c>
    </row>
    <row r="15" spans="1:8" x14ac:dyDescent="0.25">
      <c r="A15" s="20">
        <v>4</v>
      </c>
      <c r="B15" s="4" t="s">
        <v>17</v>
      </c>
      <c r="C15" s="15" t="s">
        <v>12</v>
      </c>
      <c r="D15" s="8" t="s">
        <v>110</v>
      </c>
      <c r="E15" s="20" t="s">
        <v>43</v>
      </c>
      <c r="F15" s="8">
        <v>10000</v>
      </c>
      <c r="G15" s="32">
        <v>9.9000000000000005E-2</v>
      </c>
      <c r="H15" s="38">
        <f t="shared" si="0"/>
        <v>9.9009999999999998</v>
      </c>
    </row>
    <row r="16" spans="1:8" x14ac:dyDescent="0.25">
      <c r="A16" s="16">
        <v>5</v>
      </c>
      <c r="B16" s="9" t="s">
        <v>18</v>
      </c>
      <c r="C16" s="14" t="s">
        <v>12</v>
      </c>
      <c r="D16" s="14" t="s">
        <v>125</v>
      </c>
      <c r="E16" s="16" t="s">
        <v>43</v>
      </c>
      <c r="F16" s="14">
        <v>40000</v>
      </c>
      <c r="G16" s="28">
        <v>2.1349999999999998</v>
      </c>
      <c r="H16" s="34">
        <f t="shared" si="0"/>
        <v>37.865000000000002</v>
      </c>
    </row>
    <row r="17" spans="1:8" x14ac:dyDescent="0.25">
      <c r="A17" s="18"/>
      <c r="B17" s="12"/>
      <c r="C17" s="13" t="s">
        <v>13</v>
      </c>
      <c r="D17" s="13" t="s">
        <v>125</v>
      </c>
      <c r="E17" s="18" t="s">
        <v>45</v>
      </c>
      <c r="F17" s="13">
        <v>5600</v>
      </c>
      <c r="G17" s="30">
        <v>0</v>
      </c>
      <c r="H17" s="36" t="s">
        <v>106</v>
      </c>
    </row>
    <row r="18" spans="1:8" x14ac:dyDescent="0.25">
      <c r="A18" s="16">
        <v>6</v>
      </c>
      <c r="B18" s="9" t="s">
        <v>19</v>
      </c>
      <c r="C18" s="14" t="s">
        <v>12</v>
      </c>
      <c r="D18" s="14" t="s">
        <v>112</v>
      </c>
      <c r="E18" s="16" t="s">
        <v>42</v>
      </c>
      <c r="F18" s="14">
        <v>20000</v>
      </c>
      <c r="G18" s="28">
        <v>0</v>
      </c>
      <c r="H18" s="34" t="s">
        <v>106</v>
      </c>
    </row>
    <row r="19" spans="1:8" x14ac:dyDescent="0.25">
      <c r="A19" s="17"/>
      <c r="B19" s="10"/>
      <c r="C19" s="11" t="s">
        <v>13</v>
      </c>
      <c r="D19" s="11"/>
      <c r="E19" s="17" t="s">
        <v>42</v>
      </c>
      <c r="F19" s="11">
        <v>20000</v>
      </c>
      <c r="G19" s="29">
        <v>0.73099999999999998</v>
      </c>
      <c r="H19" s="35">
        <f t="shared" si="0"/>
        <v>19.268999999999998</v>
      </c>
    </row>
    <row r="20" spans="1:8" x14ac:dyDescent="0.25">
      <c r="A20" s="18"/>
      <c r="B20" s="12"/>
      <c r="C20" s="13" t="s">
        <v>14</v>
      </c>
      <c r="D20" s="13"/>
      <c r="E20" s="18" t="s">
        <v>43</v>
      </c>
      <c r="F20" s="13">
        <v>10000</v>
      </c>
      <c r="G20" s="30">
        <v>0.48399999999999999</v>
      </c>
      <c r="H20" s="36">
        <f t="shared" si="0"/>
        <v>9.516</v>
      </c>
    </row>
    <row r="21" spans="1:8" x14ac:dyDescent="0.25">
      <c r="A21" s="16">
        <v>7</v>
      </c>
      <c r="B21" s="9" t="s">
        <v>20</v>
      </c>
      <c r="C21" s="14" t="s">
        <v>12</v>
      </c>
      <c r="D21" s="14" t="s">
        <v>111</v>
      </c>
      <c r="E21" s="16" t="s">
        <v>42</v>
      </c>
      <c r="F21" s="14">
        <v>16000</v>
      </c>
      <c r="G21" s="28">
        <v>0</v>
      </c>
      <c r="H21" s="34" t="s">
        <v>106</v>
      </c>
    </row>
    <row r="22" spans="1:8" x14ac:dyDescent="0.25">
      <c r="A22" s="18"/>
      <c r="B22" s="12"/>
      <c r="C22" s="13" t="s">
        <v>13</v>
      </c>
      <c r="D22" s="13"/>
      <c r="E22" s="18" t="s">
        <v>42</v>
      </c>
      <c r="F22" s="13">
        <v>16000</v>
      </c>
      <c r="G22" s="30">
        <v>0.60799999999999998</v>
      </c>
      <c r="H22" s="36">
        <f t="shared" si="0"/>
        <v>15.391999999999999</v>
      </c>
    </row>
    <row r="23" spans="1:8" x14ac:dyDescent="0.25">
      <c r="A23" s="20">
        <v>8</v>
      </c>
      <c r="B23" s="4" t="s">
        <v>21</v>
      </c>
      <c r="C23" s="15" t="s">
        <v>12</v>
      </c>
      <c r="D23" s="6" t="s">
        <v>113</v>
      </c>
      <c r="E23" s="20" t="s">
        <v>42</v>
      </c>
      <c r="F23" s="6">
        <v>2500</v>
      </c>
      <c r="G23" s="32">
        <v>6.3E-2</v>
      </c>
      <c r="H23" s="38">
        <f t="shared" si="0"/>
        <v>2.4369999999999998</v>
      </c>
    </row>
    <row r="24" spans="1:8" x14ac:dyDescent="0.25">
      <c r="A24" s="16">
        <v>9</v>
      </c>
      <c r="B24" s="9" t="s">
        <v>22</v>
      </c>
      <c r="C24" s="14" t="s">
        <v>12</v>
      </c>
      <c r="D24" s="14" t="s">
        <v>114</v>
      </c>
      <c r="E24" s="16" t="s">
        <v>43</v>
      </c>
      <c r="F24" s="14">
        <v>6300</v>
      </c>
      <c r="G24" s="28">
        <v>0</v>
      </c>
      <c r="H24" s="34" t="s">
        <v>106</v>
      </c>
    </row>
    <row r="25" spans="1:8" x14ac:dyDescent="0.25">
      <c r="A25" s="18"/>
      <c r="B25" s="12"/>
      <c r="C25" s="13" t="s">
        <v>13</v>
      </c>
      <c r="D25" s="13"/>
      <c r="E25" s="18" t="s">
        <v>43</v>
      </c>
      <c r="F25" s="13">
        <v>6300</v>
      </c>
      <c r="G25" s="30">
        <v>1.284</v>
      </c>
      <c r="H25" s="36">
        <f t="shared" si="0"/>
        <v>5.016</v>
      </c>
    </row>
    <row r="26" spans="1:8" x14ac:dyDescent="0.25">
      <c r="A26" s="16">
        <v>10</v>
      </c>
      <c r="B26" s="9" t="s">
        <v>23</v>
      </c>
      <c r="C26" s="14" t="s">
        <v>12</v>
      </c>
      <c r="D26" s="14" t="s">
        <v>111</v>
      </c>
      <c r="E26" s="16" t="s">
        <v>42</v>
      </c>
      <c r="F26" s="14">
        <v>16000</v>
      </c>
      <c r="G26" s="28">
        <v>2.657</v>
      </c>
      <c r="H26" s="34">
        <f t="shared" si="0"/>
        <v>13.343</v>
      </c>
    </row>
    <row r="27" spans="1:8" x14ac:dyDescent="0.25">
      <c r="A27" s="18"/>
      <c r="B27" s="12"/>
      <c r="C27" s="13" t="s">
        <v>13</v>
      </c>
      <c r="D27" s="13"/>
      <c r="E27" s="18" t="s">
        <v>42</v>
      </c>
      <c r="F27" s="13">
        <v>16000</v>
      </c>
      <c r="G27" s="30">
        <v>0</v>
      </c>
      <c r="H27" s="36" t="s">
        <v>106</v>
      </c>
    </row>
    <row r="28" spans="1:8" ht="31.5" x14ac:dyDescent="0.25">
      <c r="A28" s="20">
        <v>11</v>
      </c>
      <c r="B28" s="4" t="s">
        <v>24</v>
      </c>
      <c r="C28" s="15" t="s">
        <v>12</v>
      </c>
      <c r="D28" s="74" t="s">
        <v>115</v>
      </c>
      <c r="E28" s="20" t="s">
        <v>42</v>
      </c>
      <c r="F28" s="15">
        <v>2500</v>
      </c>
      <c r="G28" s="32">
        <v>2.1000000000000001E-2</v>
      </c>
      <c r="H28" s="38">
        <f t="shared" si="0"/>
        <v>2.4790000000000001</v>
      </c>
    </row>
    <row r="29" spans="1:8" x14ac:dyDescent="0.25">
      <c r="A29" s="20">
        <v>12</v>
      </c>
      <c r="B29" s="4" t="s">
        <v>25</v>
      </c>
      <c r="C29" s="15" t="s">
        <v>12</v>
      </c>
      <c r="D29" s="8" t="s">
        <v>116</v>
      </c>
      <c r="E29" s="20" t="s">
        <v>42</v>
      </c>
      <c r="F29" s="8">
        <v>2500</v>
      </c>
      <c r="G29" s="32">
        <v>6.6000000000000003E-2</v>
      </c>
      <c r="H29" s="38">
        <f t="shared" si="0"/>
        <v>2.4340000000000002</v>
      </c>
    </row>
    <row r="30" spans="1:8" x14ac:dyDescent="0.25">
      <c r="A30" s="16">
        <v>13</v>
      </c>
      <c r="B30" s="9" t="s">
        <v>26</v>
      </c>
      <c r="C30" s="14" t="s">
        <v>12</v>
      </c>
      <c r="D30" s="14" t="s">
        <v>117</v>
      </c>
      <c r="E30" s="16" t="s">
        <v>43</v>
      </c>
      <c r="F30" s="14">
        <v>40000</v>
      </c>
      <c r="G30" s="28">
        <v>7.7610000000000001</v>
      </c>
      <c r="H30" s="34">
        <f t="shared" si="0"/>
        <v>32.238999999999997</v>
      </c>
    </row>
    <row r="31" spans="1:8" x14ac:dyDescent="0.25">
      <c r="A31" s="18"/>
      <c r="B31" s="12"/>
      <c r="C31" s="13" t="s">
        <v>13</v>
      </c>
      <c r="D31" s="13"/>
      <c r="E31" s="18" t="s">
        <v>43</v>
      </c>
      <c r="F31" s="13">
        <v>20000</v>
      </c>
      <c r="G31" s="30">
        <v>0.40400000000000003</v>
      </c>
      <c r="H31" s="36">
        <f t="shared" si="0"/>
        <v>19.596</v>
      </c>
    </row>
    <row r="32" spans="1:8" ht="31.5" x14ac:dyDescent="0.25">
      <c r="A32" s="16">
        <v>14</v>
      </c>
      <c r="B32" s="9" t="s">
        <v>27</v>
      </c>
      <c r="C32" s="14" t="s">
        <v>12</v>
      </c>
      <c r="D32" s="75" t="s">
        <v>118</v>
      </c>
      <c r="E32" s="16" t="s">
        <v>42</v>
      </c>
      <c r="F32" s="14">
        <v>10000</v>
      </c>
      <c r="G32" s="28">
        <v>0</v>
      </c>
      <c r="H32" s="34" t="s">
        <v>106</v>
      </c>
    </row>
    <row r="33" spans="1:8" x14ac:dyDescent="0.25">
      <c r="A33" s="18"/>
      <c r="B33" s="12"/>
      <c r="C33" s="13" t="s">
        <v>13</v>
      </c>
      <c r="D33" s="13"/>
      <c r="E33" s="18" t="s">
        <v>42</v>
      </c>
      <c r="F33" s="13">
        <v>10000</v>
      </c>
      <c r="G33" s="30">
        <v>1.7090000000000001</v>
      </c>
      <c r="H33" s="36">
        <f t="shared" si="0"/>
        <v>8.2910000000000004</v>
      </c>
    </row>
    <row r="34" spans="1:8" x14ac:dyDescent="0.25">
      <c r="A34" s="20">
        <v>15</v>
      </c>
      <c r="B34" s="4" t="s">
        <v>28</v>
      </c>
      <c r="C34" s="15" t="s">
        <v>12</v>
      </c>
      <c r="D34" s="6" t="s">
        <v>119</v>
      </c>
      <c r="E34" s="20" t="s">
        <v>44</v>
      </c>
      <c r="F34" s="6">
        <v>6300</v>
      </c>
      <c r="G34" s="32">
        <v>8.3000000000000004E-2</v>
      </c>
      <c r="H34" s="38">
        <f t="shared" si="0"/>
        <v>6.2169999999999996</v>
      </c>
    </row>
    <row r="35" spans="1:8" ht="47.25" x14ac:dyDescent="0.25">
      <c r="A35" s="16">
        <v>16</v>
      </c>
      <c r="B35" s="9" t="s">
        <v>29</v>
      </c>
      <c r="C35" s="14" t="s">
        <v>12</v>
      </c>
      <c r="D35" s="75" t="s">
        <v>127</v>
      </c>
      <c r="E35" s="16" t="s">
        <v>42</v>
      </c>
      <c r="F35" s="14">
        <v>6300</v>
      </c>
      <c r="G35" s="28">
        <v>0</v>
      </c>
      <c r="H35" s="34" t="s">
        <v>106</v>
      </c>
    </row>
    <row r="36" spans="1:8" x14ac:dyDescent="0.25">
      <c r="A36" s="18"/>
      <c r="B36" s="12"/>
      <c r="C36" s="13" t="s">
        <v>13</v>
      </c>
      <c r="D36" s="13"/>
      <c r="E36" s="22" t="s">
        <v>47</v>
      </c>
      <c r="F36" s="13">
        <v>10000</v>
      </c>
      <c r="G36" s="30">
        <v>0</v>
      </c>
      <c r="H36" s="36" t="s">
        <v>106</v>
      </c>
    </row>
    <row r="37" spans="1:8" x14ac:dyDescent="0.25">
      <c r="A37" s="16">
        <v>17</v>
      </c>
      <c r="B37" s="9" t="s">
        <v>30</v>
      </c>
      <c r="C37" s="14" t="s">
        <v>12</v>
      </c>
      <c r="D37" s="14" t="s">
        <v>126</v>
      </c>
      <c r="E37" s="16" t="s">
        <v>45</v>
      </c>
      <c r="F37" s="14">
        <v>5600</v>
      </c>
      <c r="G37" s="28">
        <v>0.3</v>
      </c>
      <c r="H37" s="34">
        <f t="shared" si="0"/>
        <v>5.3</v>
      </c>
    </row>
    <row r="38" spans="1:8" x14ac:dyDescent="0.25">
      <c r="A38" s="18"/>
      <c r="B38" s="12"/>
      <c r="C38" s="13" t="s">
        <v>13</v>
      </c>
      <c r="D38" s="13"/>
      <c r="E38" s="18" t="s">
        <v>45</v>
      </c>
      <c r="F38" s="13">
        <v>5600</v>
      </c>
      <c r="G38" s="30">
        <v>0</v>
      </c>
      <c r="H38" s="36" t="s">
        <v>106</v>
      </c>
    </row>
    <row r="39" spans="1:8" x14ac:dyDescent="0.25">
      <c r="A39" s="20">
        <v>18</v>
      </c>
      <c r="B39" s="4" t="s">
        <v>31</v>
      </c>
      <c r="C39" s="15" t="s">
        <v>12</v>
      </c>
      <c r="D39" s="6" t="s">
        <v>126</v>
      </c>
      <c r="E39" s="20" t="s">
        <v>45</v>
      </c>
      <c r="F39" s="6">
        <v>560</v>
      </c>
      <c r="G39" s="73">
        <v>2.1000000000000001E-2</v>
      </c>
      <c r="H39" s="38">
        <f t="shared" si="0"/>
        <v>0.53900000000000003</v>
      </c>
    </row>
    <row r="40" spans="1:8" x14ac:dyDescent="0.25">
      <c r="A40" s="16">
        <v>19</v>
      </c>
      <c r="B40" s="9" t="s">
        <v>32</v>
      </c>
      <c r="C40" s="14" t="s">
        <v>12</v>
      </c>
      <c r="D40" s="14" t="s">
        <v>125</v>
      </c>
      <c r="E40" s="16" t="s">
        <v>45</v>
      </c>
      <c r="F40" s="14">
        <v>2500</v>
      </c>
      <c r="G40" s="28">
        <v>0</v>
      </c>
      <c r="H40" s="34" t="s">
        <v>106</v>
      </c>
    </row>
    <row r="41" spans="1:8" x14ac:dyDescent="0.25">
      <c r="A41" s="18"/>
      <c r="B41" s="12"/>
      <c r="C41" s="13" t="s">
        <v>13</v>
      </c>
      <c r="D41" s="13" t="s">
        <v>125</v>
      </c>
      <c r="E41" s="18" t="s">
        <v>45</v>
      </c>
      <c r="F41" s="13">
        <v>2500</v>
      </c>
      <c r="G41" s="30">
        <v>8.0000000000000002E-3</v>
      </c>
      <c r="H41" s="36">
        <f t="shared" si="0"/>
        <v>2.492</v>
      </c>
    </row>
    <row r="42" spans="1:8" x14ac:dyDescent="0.25">
      <c r="A42" s="20">
        <v>20</v>
      </c>
      <c r="B42" s="4" t="s">
        <v>33</v>
      </c>
      <c r="C42" s="15" t="s">
        <v>12</v>
      </c>
      <c r="D42" s="15" t="s">
        <v>110</v>
      </c>
      <c r="E42" s="20" t="s">
        <v>45</v>
      </c>
      <c r="F42" s="15">
        <v>1600</v>
      </c>
      <c r="G42" s="32"/>
      <c r="H42" s="38">
        <f t="shared" si="0"/>
        <v>1.6</v>
      </c>
    </row>
    <row r="43" spans="1:8" x14ac:dyDescent="0.25">
      <c r="A43" s="20">
        <v>21</v>
      </c>
      <c r="B43" s="4" t="s">
        <v>34</v>
      </c>
      <c r="C43" s="15" t="s">
        <v>12</v>
      </c>
      <c r="D43" s="15" t="s">
        <v>120</v>
      </c>
      <c r="E43" s="20" t="s">
        <v>45</v>
      </c>
      <c r="F43" s="15">
        <v>6300</v>
      </c>
      <c r="G43" s="32">
        <v>0.126</v>
      </c>
      <c r="H43" s="38">
        <f t="shared" si="0"/>
        <v>6.1739999999999995</v>
      </c>
    </row>
    <row r="44" spans="1:8" ht="31.5" x14ac:dyDescent="0.25">
      <c r="A44" s="16">
        <v>22</v>
      </c>
      <c r="B44" s="9" t="s">
        <v>35</v>
      </c>
      <c r="C44" s="14" t="s">
        <v>12</v>
      </c>
      <c r="D44" s="75" t="s">
        <v>121</v>
      </c>
      <c r="E44" s="16" t="s">
        <v>45</v>
      </c>
      <c r="F44" s="14">
        <v>4000</v>
      </c>
      <c r="G44" s="28">
        <v>9.1999999999999998E-2</v>
      </c>
      <c r="H44" s="34">
        <f t="shared" si="0"/>
        <v>3.9079999999999999</v>
      </c>
    </row>
    <row r="45" spans="1:8" x14ac:dyDescent="0.25">
      <c r="A45" s="18"/>
      <c r="B45" s="12"/>
      <c r="C45" s="13" t="s">
        <v>13</v>
      </c>
      <c r="D45" s="13"/>
      <c r="E45" s="18" t="s">
        <v>45</v>
      </c>
      <c r="F45" s="13">
        <v>4000</v>
      </c>
      <c r="G45" s="30">
        <v>0</v>
      </c>
      <c r="H45" s="36" t="s">
        <v>106</v>
      </c>
    </row>
    <row r="46" spans="1:8" x14ac:dyDescent="0.25">
      <c r="A46" s="16">
        <v>23</v>
      </c>
      <c r="B46" s="9" t="s">
        <v>36</v>
      </c>
      <c r="C46" s="14" t="s">
        <v>12</v>
      </c>
      <c r="D46" s="14" t="s">
        <v>122</v>
      </c>
      <c r="E46" s="16" t="s">
        <v>45</v>
      </c>
      <c r="F46" s="14">
        <v>4000</v>
      </c>
      <c r="G46" s="28">
        <v>9.2999999999999999E-2</v>
      </c>
      <c r="H46" s="34">
        <f t="shared" si="0"/>
        <v>3.907</v>
      </c>
    </row>
    <row r="47" spans="1:8" x14ac:dyDescent="0.25">
      <c r="A47" s="18"/>
      <c r="B47" s="12"/>
      <c r="C47" s="13" t="s">
        <v>13</v>
      </c>
      <c r="D47" s="13"/>
      <c r="E47" s="18" t="s">
        <v>45</v>
      </c>
      <c r="F47" s="13">
        <v>4000</v>
      </c>
      <c r="G47" s="30">
        <v>0</v>
      </c>
      <c r="H47" s="36" t="s">
        <v>106</v>
      </c>
    </row>
    <row r="48" spans="1:8" x14ac:dyDescent="0.25">
      <c r="A48" s="20">
        <v>24</v>
      </c>
      <c r="B48" s="4" t="s">
        <v>37</v>
      </c>
      <c r="C48" s="15" t="s">
        <v>12</v>
      </c>
      <c r="D48" s="15" t="s">
        <v>123</v>
      </c>
      <c r="E48" s="20" t="s">
        <v>46</v>
      </c>
      <c r="F48" s="15"/>
      <c r="G48" s="32">
        <v>0</v>
      </c>
      <c r="H48" s="38" t="s">
        <v>107</v>
      </c>
    </row>
    <row r="49" spans="1:8" x14ac:dyDescent="0.25">
      <c r="A49" s="20">
        <v>25</v>
      </c>
      <c r="B49" s="4" t="s">
        <v>38</v>
      </c>
      <c r="C49" s="15" t="s">
        <v>12</v>
      </c>
      <c r="D49" s="15" t="s">
        <v>124</v>
      </c>
      <c r="E49" s="20" t="s">
        <v>45</v>
      </c>
      <c r="F49" s="15">
        <v>1000</v>
      </c>
      <c r="G49" s="32">
        <v>5.3999999999999999E-2</v>
      </c>
      <c r="H49" s="38">
        <f t="shared" si="0"/>
        <v>0.94599999999999995</v>
      </c>
    </row>
    <row r="50" spans="1:8" x14ac:dyDescent="0.25">
      <c r="A50" s="20">
        <v>26</v>
      </c>
      <c r="B50" s="4" t="s">
        <v>39</v>
      </c>
      <c r="C50" s="15" t="s">
        <v>12</v>
      </c>
      <c r="D50" s="15" t="s">
        <v>125</v>
      </c>
      <c r="E50" s="20" t="s">
        <v>41</v>
      </c>
      <c r="F50" s="15">
        <v>2500</v>
      </c>
      <c r="G50" s="32">
        <v>0</v>
      </c>
      <c r="H50" s="38" t="s">
        <v>106</v>
      </c>
    </row>
    <row r="52" spans="1:8" x14ac:dyDescent="0.25">
      <c r="A52" s="115" t="s">
        <v>48</v>
      </c>
      <c r="B52" s="115"/>
      <c r="C52" s="115"/>
      <c r="D52" s="115"/>
      <c r="E52" s="115"/>
      <c r="F52" s="115"/>
      <c r="G52" s="115"/>
      <c r="H52" s="115"/>
    </row>
    <row r="54" spans="1:8" ht="63" x14ac:dyDescent="0.25">
      <c r="A54" s="3" t="s">
        <v>4</v>
      </c>
      <c r="B54" s="3" t="s">
        <v>49</v>
      </c>
      <c r="C54" s="3" t="s">
        <v>50</v>
      </c>
      <c r="D54" s="3" t="s">
        <v>51</v>
      </c>
      <c r="E54" s="3" t="s">
        <v>8</v>
      </c>
      <c r="F54" s="3" t="s">
        <v>52</v>
      </c>
      <c r="G54" s="27" t="s">
        <v>129</v>
      </c>
      <c r="H54" s="27" t="s">
        <v>10</v>
      </c>
    </row>
    <row r="55" spans="1:8" x14ac:dyDescent="0.25">
      <c r="A55" s="20"/>
      <c r="B55" s="40" t="s">
        <v>53</v>
      </c>
      <c r="C55" s="4"/>
      <c r="D55" s="15"/>
      <c r="E55" s="40"/>
      <c r="F55" s="15"/>
      <c r="G55" s="32"/>
      <c r="H55" s="38"/>
    </row>
    <row r="56" spans="1:8" x14ac:dyDescent="0.25">
      <c r="A56" s="16">
        <v>1</v>
      </c>
      <c r="B56" s="41" t="s">
        <v>54</v>
      </c>
      <c r="C56" s="56">
        <v>3.3</v>
      </c>
      <c r="D56" s="64">
        <v>120</v>
      </c>
      <c r="E56" s="42">
        <v>110</v>
      </c>
      <c r="F56" s="43">
        <f>1.73*115*330/1000</f>
        <v>65.653499999999994</v>
      </c>
      <c r="G56" s="28">
        <v>8.1739999999999995</v>
      </c>
      <c r="H56" s="43">
        <f>F56-G56</f>
        <v>57.479499999999994</v>
      </c>
    </row>
    <row r="57" spans="1:8" x14ac:dyDescent="0.25">
      <c r="A57" s="17">
        <v>2</v>
      </c>
      <c r="B57" s="44" t="s">
        <v>55</v>
      </c>
      <c r="C57" s="57">
        <v>217.4</v>
      </c>
      <c r="D57" s="65">
        <v>150</v>
      </c>
      <c r="E57" s="45">
        <v>110</v>
      </c>
      <c r="F57" s="46">
        <f>1.73*115*445/1000</f>
        <v>88.532749999999993</v>
      </c>
      <c r="G57" s="29">
        <v>2.722</v>
      </c>
      <c r="H57" s="46">
        <f t="shared" ref="H57:H108" si="1">F57-G57</f>
        <v>85.810749999999999</v>
      </c>
    </row>
    <row r="58" spans="1:8" x14ac:dyDescent="0.25">
      <c r="A58" s="17">
        <v>3</v>
      </c>
      <c r="B58" s="44" t="s">
        <v>56</v>
      </c>
      <c r="C58" s="57">
        <v>217.4</v>
      </c>
      <c r="D58" s="65">
        <v>150</v>
      </c>
      <c r="E58" s="45">
        <v>110</v>
      </c>
      <c r="F58" s="46">
        <f>1.73*115*445/1000</f>
        <v>88.532749999999993</v>
      </c>
      <c r="G58" s="29">
        <v>2.383</v>
      </c>
      <c r="H58" s="46">
        <f t="shared" si="1"/>
        <v>86.149749999999997</v>
      </c>
    </row>
    <row r="59" spans="1:8" x14ac:dyDescent="0.25">
      <c r="A59" s="17">
        <v>4</v>
      </c>
      <c r="B59" s="44" t="s">
        <v>57</v>
      </c>
      <c r="C59" s="58">
        <v>17.3</v>
      </c>
      <c r="D59" s="65" t="s">
        <v>109</v>
      </c>
      <c r="E59" s="45">
        <v>110</v>
      </c>
      <c r="F59" s="46">
        <f>1.73*115*445/1000</f>
        <v>88.532749999999993</v>
      </c>
      <c r="G59" s="29">
        <v>7.8330000000000002</v>
      </c>
      <c r="H59" s="46">
        <f t="shared" si="1"/>
        <v>80.699749999999995</v>
      </c>
    </row>
    <row r="60" spans="1:8" x14ac:dyDescent="0.25">
      <c r="A60" s="17">
        <v>5</v>
      </c>
      <c r="B60" s="44" t="s">
        <v>58</v>
      </c>
      <c r="C60" s="57">
        <v>17.3</v>
      </c>
      <c r="D60" s="65" t="s">
        <v>109</v>
      </c>
      <c r="E60" s="45">
        <v>110</v>
      </c>
      <c r="F60" s="46">
        <f>1.73*115*445/1000</f>
        <v>88.532749999999993</v>
      </c>
      <c r="G60" s="29">
        <v>3.0640000000000001</v>
      </c>
      <c r="H60" s="46">
        <f t="shared" si="1"/>
        <v>85.46875</v>
      </c>
    </row>
    <row r="61" spans="1:8" x14ac:dyDescent="0.25">
      <c r="A61" s="17">
        <v>6</v>
      </c>
      <c r="B61" s="44" t="s">
        <v>59</v>
      </c>
      <c r="C61" s="57">
        <v>47.1</v>
      </c>
      <c r="D61" s="65">
        <v>120</v>
      </c>
      <c r="E61" s="45">
        <v>110</v>
      </c>
      <c r="F61" s="46">
        <f>1.73*115*445/1000</f>
        <v>88.532749999999993</v>
      </c>
      <c r="G61" s="29">
        <v>1.2889999999999999</v>
      </c>
      <c r="H61" s="46">
        <f t="shared" si="1"/>
        <v>87.243749999999991</v>
      </c>
    </row>
    <row r="62" spans="1:8" x14ac:dyDescent="0.25">
      <c r="A62" s="17">
        <v>7</v>
      </c>
      <c r="B62" s="44" t="s">
        <v>60</v>
      </c>
      <c r="C62" s="57">
        <v>36.9</v>
      </c>
      <c r="D62" s="65">
        <v>120</v>
      </c>
      <c r="E62" s="45">
        <v>110</v>
      </c>
      <c r="F62" s="46">
        <f>1.73*115*380/1000</f>
        <v>75.600999999999999</v>
      </c>
      <c r="G62" s="29">
        <v>4.96</v>
      </c>
      <c r="H62" s="46">
        <f t="shared" si="1"/>
        <v>70.641000000000005</v>
      </c>
    </row>
    <row r="63" spans="1:8" x14ac:dyDescent="0.25">
      <c r="A63" s="17">
        <v>8</v>
      </c>
      <c r="B63" s="44" t="s">
        <v>61</v>
      </c>
      <c r="C63" s="58">
        <v>39.32</v>
      </c>
      <c r="D63" s="65">
        <v>185</v>
      </c>
      <c r="E63" s="45">
        <v>110</v>
      </c>
      <c r="F63" s="46">
        <f>1.73*115*510/1000</f>
        <v>101.4645</v>
      </c>
      <c r="G63" s="29">
        <v>11.622999999999999</v>
      </c>
      <c r="H63" s="46">
        <f t="shared" si="1"/>
        <v>89.841499999999996</v>
      </c>
    </row>
    <row r="64" spans="1:8" x14ac:dyDescent="0.25">
      <c r="A64" s="17">
        <v>9</v>
      </c>
      <c r="B64" s="44" t="s">
        <v>105</v>
      </c>
      <c r="C64" s="57">
        <v>172.4</v>
      </c>
      <c r="D64" s="65">
        <v>185</v>
      </c>
      <c r="E64" s="45">
        <v>110</v>
      </c>
      <c r="F64" s="46">
        <f>1.73*115*510/1000</f>
        <v>101.4645</v>
      </c>
      <c r="G64" s="29">
        <v>5.5960000000000001</v>
      </c>
      <c r="H64" s="46">
        <f t="shared" si="1"/>
        <v>95.868499999999997</v>
      </c>
    </row>
    <row r="65" spans="1:8" x14ac:dyDescent="0.25">
      <c r="A65" s="17">
        <v>10</v>
      </c>
      <c r="B65" s="44" t="s">
        <v>62</v>
      </c>
      <c r="C65" s="57">
        <v>3.35</v>
      </c>
      <c r="D65" s="65">
        <v>120</v>
      </c>
      <c r="E65" s="45">
        <v>110</v>
      </c>
      <c r="F65" s="46">
        <f>1.73*115*380/1000</f>
        <v>75.600999999999999</v>
      </c>
      <c r="G65" s="29">
        <v>8.6999999999999994E-2</v>
      </c>
      <c r="H65" s="46">
        <f t="shared" si="1"/>
        <v>75.513999999999996</v>
      </c>
    </row>
    <row r="66" spans="1:8" x14ac:dyDescent="0.25">
      <c r="A66" s="18">
        <v>11</v>
      </c>
      <c r="B66" s="47" t="s">
        <v>63</v>
      </c>
      <c r="C66" s="59">
        <v>19</v>
      </c>
      <c r="D66" s="66">
        <v>35</v>
      </c>
      <c r="E66" s="48">
        <v>35</v>
      </c>
      <c r="F66" s="49">
        <f>1.73*37*175/1000</f>
        <v>11.201750000000001</v>
      </c>
      <c r="G66" s="30">
        <v>1.2E-2</v>
      </c>
      <c r="H66" s="49">
        <f t="shared" si="1"/>
        <v>11.18975</v>
      </c>
    </row>
    <row r="67" spans="1:8" x14ac:dyDescent="0.25">
      <c r="A67" s="20"/>
      <c r="B67" s="40" t="s">
        <v>64</v>
      </c>
      <c r="C67" s="60"/>
      <c r="D67" s="67"/>
      <c r="E67" s="40"/>
      <c r="F67" s="50"/>
      <c r="G67" s="32"/>
      <c r="H67" s="50"/>
    </row>
    <row r="68" spans="1:8" x14ac:dyDescent="0.25">
      <c r="A68" s="16">
        <v>12</v>
      </c>
      <c r="B68" s="41" t="s">
        <v>65</v>
      </c>
      <c r="C68" s="61">
        <v>89.5</v>
      </c>
      <c r="D68" s="64">
        <v>120</v>
      </c>
      <c r="E68" s="42">
        <v>110</v>
      </c>
      <c r="F68" s="43">
        <f>1.73*115*380/1000</f>
        <v>75.600999999999999</v>
      </c>
      <c r="G68" s="28">
        <v>0.10299999999999999</v>
      </c>
      <c r="H68" s="43">
        <f t="shared" si="1"/>
        <v>75.498000000000005</v>
      </c>
    </row>
    <row r="69" spans="1:8" x14ac:dyDescent="0.25">
      <c r="A69" s="17">
        <v>13</v>
      </c>
      <c r="B69" s="44" t="s">
        <v>66</v>
      </c>
      <c r="C69" s="57">
        <v>118.61</v>
      </c>
      <c r="D69" s="65">
        <v>120</v>
      </c>
      <c r="E69" s="45">
        <v>110</v>
      </c>
      <c r="F69" s="46">
        <f>1.73*115*380/1000</f>
        <v>75.600999999999999</v>
      </c>
      <c r="G69" s="29">
        <v>0</v>
      </c>
      <c r="H69" s="53" t="s">
        <v>106</v>
      </c>
    </row>
    <row r="70" spans="1:8" x14ac:dyDescent="0.25">
      <c r="A70" s="18">
        <v>14</v>
      </c>
      <c r="B70" s="47" t="s">
        <v>67</v>
      </c>
      <c r="C70" s="59">
        <v>90.5</v>
      </c>
      <c r="D70" s="66">
        <v>120</v>
      </c>
      <c r="E70" s="48">
        <v>110</v>
      </c>
      <c r="F70" s="49">
        <f>1.73*115*380/1000</f>
        <v>75.600999999999999</v>
      </c>
      <c r="G70" s="30">
        <v>1.484</v>
      </c>
      <c r="H70" s="49">
        <f t="shared" si="1"/>
        <v>74.117000000000004</v>
      </c>
    </row>
    <row r="71" spans="1:8" x14ac:dyDescent="0.25">
      <c r="A71" s="20"/>
      <c r="B71" s="40" t="s">
        <v>68</v>
      </c>
      <c r="C71" s="62"/>
      <c r="D71" s="67"/>
      <c r="E71" s="40"/>
      <c r="F71" s="50"/>
      <c r="G71" s="32"/>
      <c r="H71" s="50"/>
    </row>
    <row r="72" spans="1:8" x14ac:dyDescent="0.25">
      <c r="A72" s="16">
        <v>15</v>
      </c>
      <c r="B72" s="41" t="s">
        <v>69</v>
      </c>
      <c r="C72" s="56">
        <v>51</v>
      </c>
      <c r="D72" s="64">
        <v>185</v>
      </c>
      <c r="E72" s="42">
        <v>110</v>
      </c>
      <c r="F72" s="43">
        <f>1.73*115*510/1000</f>
        <v>101.4645</v>
      </c>
      <c r="G72" s="28">
        <v>6.77</v>
      </c>
      <c r="H72" s="43">
        <f t="shared" si="1"/>
        <v>94.694500000000005</v>
      </c>
    </row>
    <row r="73" spans="1:8" x14ac:dyDescent="0.25">
      <c r="A73" s="18">
        <v>16</v>
      </c>
      <c r="B73" s="47" t="s">
        <v>70</v>
      </c>
      <c r="C73" s="63">
        <v>2.2599999999999998</v>
      </c>
      <c r="D73" s="66">
        <v>70</v>
      </c>
      <c r="E73" s="48">
        <v>35</v>
      </c>
      <c r="F73" s="49">
        <f>1.73*37*265/1000</f>
        <v>16.96265</v>
      </c>
      <c r="G73" s="30">
        <v>2.6829999999999998</v>
      </c>
      <c r="H73" s="49">
        <f t="shared" si="1"/>
        <v>14.27965</v>
      </c>
    </row>
    <row r="74" spans="1:8" x14ac:dyDescent="0.25">
      <c r="A74" s="20"/>
      <c r="B74" s="40" t="s">
        <v>71</v>
      </c>
      <c r="C74" s="60"/>
      <c r="D74" s="67"/>
      <c r="E74" s="40"/>
      <c r="F74" s="50"/>
      <c r="G74" s="32"/>
      <c r="H74" s="50"/>
    </row>
    <row r="75" spans="1:8" x14ac:dyDescent="0.25">
      <c r="A75" s="16">
        <v>17</v>
      </c>
      <c r="B75" s="41" t="s">
        <v>72</v>
      </c>
      <c r="C75" s="56">
        <v>30</v>
      </c>
      <c r="D75" s="64">
        <v>95</v>
      </c>
      <c r="E75" s="42">
        <v>35</v>
      </c>
      <c r="F75" s="43">
        <f>1.73*37*330/1000</f>
        <v>21.123300000000004</v>
      </c>
      <c r="G75" s="28">
        <v>6.6000000000000003E-2</v>
      </c>
      <c r="H75" s="43">
        <f t="shared" si="1"/>
        <v>21.057300000000005</v>
      </c>
    </row>
    <row r="76" spans="1:8" x14ac:dyDescent="0.25">
      <c r="A76" s="17">
        <v>18</v>
      </c>
      <c r="B76" s="44" t="s">
        <v>73</v>
      </c>
      <c r="C76" s="57">
        <v>53.3</v>
      </c>
      <c r="D76" s="65">
        <v>70</v>
      </c>
      <c r="E76" s="45">
        <v>35</v>
      </c>
      <c r="F76" s="46">
        <f>1.73*37*265/1000</f>
        <v>16.96265</v>
      </c>
      <c r="G76" s="29">
        <v>1.93</v>
      </c>
      <c r="H76" s="46">
        <f t="shared" si="1"/>
        <v>15.03265</v>
      </c>
    </row>
    <row r="77" spans="1:8" x14ac:dyDescent="0.25">
      <c r="A77" s="17">
        <v>19</v>
      </c>
      <c r="B77" s="44" t="s">
        <v>74</v>
      </c>
      <c r="C77" s="58">
        <v>30.9</v>
      </c>
      <c r="D77" s="65">
        <v>70</v>
      </c>
      <c r="E77" s="45">
        <v>35</v>
      </c>
      <c r="F77" s="46">
        <f>1.73*37*265/1000</f>
        <v>16.96265</v>
      </c>
      <c r="G77" s="29">
        <v>0</v>
      </c>
      <c r="H77" s="53" t="s">
        <v>106</v>
      </c>
    </row>
    <row r="78" spans="1:8" x14ac:dyDescent="0.25">
      <c r="A78" s="17">
        <v>20</v>
      </c>
      <c r="B78" s="44" t="s">
        <v>75</v>
      </c>
      <c r="C78" s="57">
        <v>33.14</v>
      </c>
      <c r="D78" s="65">
        <v>70</v>
      </c>
      <c r="E78" s="45">
        <v>35</v>
      </c>
      <c r="F78" s="46">
        <f>1.73*37*265/1000</f>
        <v>16.96265</v>
      </c>
      <c r="G78" s="29">
        <v>0</v>
      </c>
      <c r="H78" s="53" t="s">
        <v>106</v>
      </c>
    </row>
    <row r="79" spans="1:8" x14ac:dyDescent="0.25">
      <c r="A79" s="18">
        <v>21</v>
      </c>
      <c r="B79" s="47" t="s">
        <v>76</v>
      </c>
      <c r="C79" s="63">
        <v>44.5</v>
      </c>
      <c r="D79" s="66">
        <v>95</v>
      </c>
      <c r="E79" s="48">
        <v>35</v>
      </c>
      <c r="F79" s="49">
        <f>1.73*37*330/1000</f>
        <v>21.123300000000004</v>
      </c>
      <c r="G79" s="30">
        <v>8.1000000000000003E-2</v>
      </c>
      <c r="H79" s="49">
        <f t="shared" si="1"/>
        <v>21.042300000000004</v>
      </c>
    </row>
    <row r="80" spans="1:8" x14ac:dyDescent="0.25">
      <c r="A80" s="20"/>
      <c r="B80" s="40" t="s">
        <v>77</v>
      </c>
      <c r="C80" s="62"/>
      <c r="D80" s="67"/>
      <c r="E80" s="40"/>
      <c r="F80" s="50"/>
      <c r="G80" s="32"/>
      <c r="H80" s="50"/>
    </row>
    <row r="81" spans="1:8" x14ac:dyDescent="0.25">
      <c r="A81" s="20">
        <v>22</v>
      </c>
      <c r="B81" s="5" t="s">
        <v>78</v>
      </c>
      <c r="C81" s="60">
        <v>15.4</v>
      </c>
      <c r="D81" s="67">
        <v>95</v>
      </c>
      <c r="E81" s="51">
        <v>35</v>
      </c>
      <c r="F81" s="52">
        <f>1.73*37*330/1000</f>
        <v>21.123300000000004</v>
      </c>
      <c r="G81" s="32">
        <v>0</v>
      </c>
      <c r="H81" s="54" t="s">
        <v>106</v>
      </c>
    </row>
    <row r="82" spans="1:8" x14ac:dyDescent="0.25">
      <c r="A82" s="20"/>
      <c r="B82" s="40" t="s">
        <v>79</v>
      </c>
      <c r="C82" s="62"/>
      <c r="D82" s="67"/>
      <c r="E82" s="40"/>
      <c r="F82" s="50"/>
      <c r="G82" s="32"/>
      <c r="H82" s="50"/>
    </row>
    <row r="83" spans="1:8" x14ac:dyDescent="0.25">
      <c r="A83" s="20">
        <v>23</v>
      </c>
      <c r="B83" s="5" t="s">
        <v>80</v>
      </c>
      <c r="C83" s="60">
        <v>4</v>
      </c>
      <c r="D83" s="67">
        <v>95</v>
      </c>
      <c r="E83" s="51">
        <v>110</v>
      </c>
      <c r="F83" s="52">
        <f>1.73*115*330/1000</f>
        <v>65.653499999999994</v>
      </c>
      <c r="G83" s="32">
        <v>0</v>
      </c>
      <c r="H83" s="54" t="s">
        <v>106</v>
      </c>
    </row>
    <row r="84" spans="1:8" x14ac:dyDescent="0.25">
      <c r="A84" s="20"/>
      <c r="B84" s="40" t="s">
        <v>81</v>
      </c>
      <c r="C84" s="62"/>
      <c r="D84" s="67"/>
      <c r="E84" s="40"/>
      <c r="F84" s="50"/>
      <c r="G84" s="32"/>
      <c r="H84" s="50"/>
    </row>
    <row r="85" spans="1:8" x14ac:dyDescent="0.25">
      <c r="A85" s="16">
        <v>24</v>
      </c>
      <c r="B85" s="41" t="s">
        <v>66</v>
      </c>
      <c r="C85" s="56">
        <v>118.61</v>
      </c>
      <c r="D85" s="64">
        <v>120</v>
      </c>
      <c r="E85" s="42">
        <v>110</v>
      </c>
      <c r="F85" s="43">
        <f>1.73*115*380/1000</f>
        <v>75.600999999999999</v>
      </c>
      <c r="G85" s="28">
        <v>2.7E-2</v>
      </c>
      <c r="H85" s="43">
        <f t="shared" si="1"/>
        <v>75.573999999999998</v>
      </c>
    </row>
    <row r="86" spans="1:8" x14ac:dyDescent="0.25">
      <c r="A86" s="17">
        <v>25</v>
      </c>
      <c r="B86" s="44" t="s">
        <v>82</v>
      </c>
      <c r="C86" s="57">
        <v>48.3</v>
      </c>
      <c r="D86" s="65">
        <v>185</v>
      </c>
      <c r="E86" s="45">
        <v>110</v>
      </c>
      <c r="F86" s="46">
        <f>1.73*115*510/1000</f>
        <v>101.4645</v>
      </c>
      <c r="G86" s="29">
        <v>2.7360000000000002</v>
      </c>
      <c r="H86" s="46">
        <f t="shared" si="1"/>
        <v>98.728499999999997</v>
      </c>
    </row>
    <row r="87" spans="1:8" x14ac:dyDescent="0.25">
      <c r="A87" s="18">
        <v>26</v>
      </c>
      <c r="B87" s="47" t="s">
        <v>83</v>
      </c>
      <c r="C87" s="63">
        <v>30.5</v>
      </c>
      <c r="D87" s="66">
        <v>50</v>
      </c>
      <c r="E87" s="48">
        <v>35</v>
      </c>
      <c r="F87" s="49">
        <f>1.73*37*210/1000</f>
        <v>13.4421</v>
      </c>
      <c r="G87" s="30">
        <v>1.643</v>
      </c>
      <c r="H87" s="49">
        <f t="shared" si="1"/>
        <v>11.799099999999999</v>
      </c>
    </row>
    <row r="88" spans="1:8" x14ac:dyDescent="0.25">
      <c r="A88" s="20"/>
      <c r="B88" s="40" t="s">
        <v>84</v>
      </c>
      <c r="C88" s="60"/>
      <c r="D88" s="67"/>
      <c r="E88" s="40"/>
      <c r="F88" s="50"/>
      <c r="G88" s="32"/>
      <c r="H88" s="50"/>
    </row>
    <row r="89" spans="1:8" x14ac:dyDescent="0.25">
      <c r="A89" s="16">
        <v>27</v>
      </c>
      <c r="B89" s="41" t="s">
        <v>85</v>
      </c>
      <c r="C89" s="56">
        <v>38.4</v>
      </c>
      <c r="D89" s="64">
        <v>120</v>
      </c>
      <c r="E89" s="42">
        <v>110</v>
      </c>
      <c r="F89" s="43">
        <f>1.73*115*380/1000</f>
        <v>75.600999999999999</v>
      </c>
      <c r="G89" s="28">
        <v>4.8310000000000004</v>
      </c>
      <c r="H89" s="43">
        <f t="shared" si="1"/>
        <v>70.77</v>
      </c>
    </row>
    <row r="90" spans="1:8" x14ac:dyDescent="0.25">
      <c r="A90" s="18">
        <v>28</v>
      </c>
      <c r="B90" s="47" t="s">
        <v>86</v>
      </c>
      <c r="C90" s="59">
        <v>1.6</v>
      </c>
      <c r="D90" s="66">
        <v>70</v>
      </c>
      <c r="E90" s="48">
        <v>35</v>
      </c>
      <c r="F90" s="49">
        <f>1.73*37*265/1000</f>
        <v>16.96265</v>
      </c>
      <c r="G90" s="55">
        <v>5.0000000000000001E-3</v>
      </c>
      <c r="H90" s="49">
        <f t="shared" si="1"/>
        <v>16.957650000000001</v>
      </c>
    </row>
    <row r="91" spans="1:8" x14ac:dyDescent="0.25">
      <c r="A91" s="20"/>
      <c r="B91" s="40" t="s">
        <v>87</v>
      </c>
      <c r="C91" s="62"/>
      <c r="D91" s="67"/>
      <c r="E91" s="40"/>
      <c r="F91" s="50"/>
      <c r="G91" s="32"/>
      <c r="H91" s="50"/>
    </row>
    <row r="92" spans="1:8" x14ac:dyDescent="0.25">
      <c r="A92" s="20">
        <v>29</v>
      </c>
      <c r="B92" s="5" t="s">
        <v>88</v>
      </c>
      <c r="C92" s="60">
        <v>45.2</v>
      </c>
      <c r="D92" s="67">
        <v>70</v>
      </c>
      <c r="E92" s="51">
        <v>35</v>
      </c>
      <c r="F92" s="52">
        <f>1.73*37*265/1000</f>
        <v>16.96265</v>
      </c>
      <c r="G92" s="32">
        <v>0.129</v>
      </c>
      <c r="H92" s="52">
        <f t="shared" si="1"/>
        <v>16.833649999999999</v>
      </c>
    </row>
    <row r="93" spans="1:8" x14ac:dyDescent="0.25">
      <c r="A93" s="20"/>
      <c r="B93" s="40" t="s">
        <v>89</v>
      </c>
      <c r="C93" s="62"/>
      <c r="D93" s="67"/>
      <c r="E93" s="40"/>
      <c r="F93" s="50"/>
      <c r="G93" s="32"/>
      <c r="H93" s="50"/>
    </row>
    <row r="94" spans="1:8" x14ac:dyDescent="0.25">
      <c r="A94" s="20">
        <v>30</v>
      </c>
      <c r="B94" s="5" t="s">
        <v>90</v>
      </c>
      <c r="C94" s="60">
        <v>65</v>
      </c>
      <c r="D94" s="67" t="s">
        <v>108</v>
      </c>
      <c r="E94" s="51">
        <v>35</v>
      </c>
      <c r="F94" s="52">
        <f>1.73*37*265/1000</f>
        <v>16.96265</v>
      </c>
      <c r="G94" s="32">
        <v>0.79</v>
      </c>
      <c r="H94" s="52">
        <f t="shared" si="1"/>
        <v>16.172650000000001</v>
      </c>
    </row>
    <row r="95" spans="1:8" x14ac:dyDescent="0.25">
      <c r="A95" s="20"/>
      <c r="B95" s="40" t="s">
        <v>91</v>
      </c>
      <c r="C95" s="60"/>
      <c r="D95" s="67"/>
      <c r="E95" s="40"/>
      <c r="F95" s="50"/>
      <c r="G95" s="32"/>
      <c r="H95" s="50"/>
    </row>
    <row r="96" spans="1:8" x14ac:dyDescent="0.25">
      <c r="A96" s="16">
        <v>31</v>
      </c>
      <c r="B96" s="41" t="s">
        <v>92</v>
      </c>
      <c r="C96" s="56">
        <v>71.2</v>
      </c>
      <c r="D96" s="64">
        <v>70</v>
      </c>
      <c r="E96" s="42">
        <v>35</v>
      </c>
      <c r="F96" s="43">
        <f>1.73*37*265/1000</f>
        <v>16.96265</v>
      </c>
      <c r="G96" s="28">
        <v>5.0000000000000001E-3</v>
      </c>
      <c r="H96" s="43">
        <f t="shared" si="1"/>
        <v>16.957650000000001</v>
      </c>
    </row>
    <row r="97" spans="1:8" x14ac:dyDescent="0.25">
      <c r="A97" s="18">
        <v>32</v>
      </c>
      <c r="B97" s="47" t="s">
        <v>93</v>
      </c>
      <c r="C97" s="25">
        <v>38.6</v>
      </c>
      <c r="D97" s="68">
        <v>95</v>
      </c>
      <c r="E97" s="48">
        <v>35</v>
      </c>
      <c r="F97" s="49">
        <f>1.73*37*330/1000</f>
        <v>21.123300000000004</v>
      </c>
      <c r="G97" s="30">
        <v>1.038</v>
      </c>
      <c r="H97" s="49">
        <f t="shared" si="1"/>
        <v>20.085300000000004</v>
      </c>
    </row>
    <row r="98" spans="1:8" x14ac:dyDescent="0.25">
      <c r="A98" s="20"/>
      <c r="B98" s="40" t="s">
        <v>94</v>
      </c>
      <c r="C98" s="26"/>
      <c r="D98" s="69"/>
      <c r="E98" s="40"/>
      <c r="F98" s="50"/>
      <c r="G98" s="32"/>
      <c r="H98" s="50"/>
    </row>
    <row r="99" spans="1:8" x14ac:dyDescent="0.25">
      <c r="A99" s="20">
        <v>33</v>
      </c>
      <c r="B99" s="5" t="s">
        <v>95</v>
      </c>
      <c r="C99" s="26">
        <v>17.7</v>
      </c>
      <c r="D99" s="69">
        <v>70</v>
      </c>
      <c r="E99" s="51">
        <v>35</v>
      </c>
      <c r="F99" s="52">
        <f>1.73*37*265/1000</f>
        <v>16.96265</v>
      </c>
      <c r="G99" s="32">
        <v>2.1000000000000001E-2</v>
      </c>
      <c r="H99" s="52">
        <f t="shared" si="1"/>
        <v>16.941649999999999</v>
      </c>
    </row>
    <row r="100" spans="1:8" x14ac:dyDescent="0.25">
      <c r="A100" s="20"/>
      <c r="B100" s="40" t="s">
        <v>96</v>
      </c>
      <c r="C100" s="26"/>
      <c r="D100" s="69"/>
      <c r="E100" s="40"/>
      <c r="F100" s="50"/>
      <c r="G100" s="32"/>
      <c r="H100" s="50"/>
    </row>
    <row r="101" spans="1:8" x14ac:dyDescent="0.25">
      <c r="A101" s="20">
        <v>34</v>
      </c>
      <c r="B101" s="5" t="s">
        <v>97</v>
      </c>
      <c r="C101" s="26">
        <v>19.5</v>
      </c>
      <c r="D101" s="69">
        <v>95</v>
      </c>
      <c r="E101" s="51">
        <v>35</v>
      </c>
      <c r="F101" s="52">
        <f>1.73*37*330/1000</f>
        <v>21.123300000000004</v>
      </c>
      <c r="G101" s="32">
        <v>0.48099999999999998</v>
      </c>
      <c r="H101" s="52">
        <f t="shared" si="1"/>
        <v>20.642300000000002</v>
      </c>
    </row>
    <row r="102" spans="1:8" x14ac:dyDescent="0.25">
      <c r="A102" s="20"/>
      <c r="B102" s="40" t="s">
        <v>98</v>
      </c>
      <c r="C102" s="26"/>
      <c r="D102" s="69"/>
      <c r="E102" s="40"/>
      <c r="F102" s="50"/>
      <c r="G102" s="32"/>
      <c r="H102" s="50"/>
    </row>
    <row r="103" spans="1:8" x14ac:dyDescent="0.25">
      <c r="A103" s="16">
        <v>35</v>
      </c>
      <c r="B103" s="41" t="s">
        <v>99</v>
      </c>
      <c r="C103" s="23">
        <v>28.96</v>
      </c>
      <c r="D103" s="70">
        <v>70</v>
      </c>
      <c r="E103" s="42">
        <v>35</v>
      </c>
      <c r="F103" s="43">
        <f>1.73*37*265/1000</f>
        <v>16.96265</v>
      </c>
      <c r="G103" s="28">
        <v>4.2000000000000003E-2</v>
      </c>
      <c r="H103" s="43">
        <f t="shared" si="1"/>
        <v>16.920649999999998</v>
      </c>
    </row>
    <row r="104" spans="1:8" x14ac:dyDescent="0.25">
      <c r="A104" s="17">
        <v>36</v>
      </c>
      <c r="B104" s="44" t="s">
        <v>100</v>
      </c>
      <c r="C104" s="24">
        <v>15</v>
      </c>
      <c r="D104" s="71">
        <v>70</v>
      </c>
      <c r="E104" s="45">
        <v>35</v>
      </c>
      <c r="F104" s="46">
        <f>1.73*37*265/1000</f>
        <v>16.96265</v>
      </c>
      <c r="G104" s="29">
        <v>0.314</v>
      </c>
      <c r="H104" s="46">
        <f t="shared" si="1"/>
        <v>16.64865</v>
      </c>
    </row>
    <row r="105" spans="1:8" x14ac:dyDescent="0.25">
      <c r="A105" s="18">
        <v>37</v>
      </c>
      <c r="B105" s="47" t="s">
        <v>101</v>
      </c>
      <c r="C105" s="25">
        <v>35.26</v>
      </c>
      <c r="D105" s="68">
        <v>70</v>
      </c>
      <c r="E105" s="48">
        <v>35</v>
      </c>
      <c r="F105" s="49">
        <f>1.73*37*265/1000</f>
        <v>16.96265</v>
      </c>
      <c r="G105" s="30">
        <v>0.66200000000000003</v>
      </c>
      <c r="H105" s="49">
        <f t="shared" si="1"/>
        <v>16.300650000000001</v>
      </c>
    </row>
    <row r="106" spans="1:8" x14ac:dyDescent="0.25">
      <c r="A106" s="20"/>
      <c r="B106" s="40" t="s">
        <v>102</v>
      </c>
      <c r="C106" s="26"/>
      <c r="D106" s="69"/>
      <c r="E106" s="40"/>
      <c r="F106" s="50"/>
      <c r="G106" s="32"/>
      <c r="H106" s="50"/>
    </row>
    <row r="107" spans="1:8" x14ac:dyDescent="0.25">
      <c r="A107" s="16">
        <v>38</v>
      </c>
      <c r="B107" s="41" t="s">
        <v>103</v>
      </c>
      <c r="C107" s="23">
        <v>40.75</v>
      </c>
      <c r="D107" s="70">
        <v>70</v>
      </c>
      <c r="E107" s="42">
        <v>35</v>
      </c>
      <c r="F107" s="43">
        <f>1.73*37*265/1000</f>
        <v>16.96265</v>
      </c>
      <c r="G107" s="28">
        <v>0.193</v>
      </c>
      <c r="H107" s="43">
        <f t="shared" si="1"/>
        <v>16.769649999999999</v>
      </c>
    </row>
    <row r="108" spans="1:8" x14ac:dyDescent="0.25">
      <c r="A108" s="18">
        <v>39</v>
      </c>
      <c r="B108" s="47" t="s">
        <v>104</v>
      </c>
      <c r="C108" s="25">
        <v>38.14</v>
      </c>
      <c r="D108" s="68">
        <v>120</v>
      </c>
      <c r="E108" s="48">
        <v>35</v>
      </c>
      <c r="F108" s="49">
        <f>1.73*37*380/1000</f>
        <v>24.323800000000002</v>
      </c>
      <c r="G108" s="30">
        <v>0.151</v>
      </c>
      <c r="H108" s="49">
        <f t="shared" si="1"/>
        <v>24.172800000000002</v>
      </c>
    </row>
  </sheetData>
  <mergeCells count="5">
    <mergeCell ref="A6:H6"/>
    <mergeCell ref="A4:H4"/>
    <mergeCell ref="A1:H1"/>
    <mergeCell ref="A2:H2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8"/>
  <sheetViews>
    <sheetView workbookViewId="0">
      <selection activeCell="G42" sqref="G42"/>
    </sheetView>
  </sheetViews>
  <sheetFormatPr defaultRowHeight="15.75" x14ac:dyDescent="0.25"/>
  <cols>
    <col min="1" max="1" width="5.28515625" style="21" customWidth="1"/>
    <col min="2" max="2" width="20.5703125" style="1" bestFit="1" customWidth="1"/>
    <col min="3" max="3" width="11.5703125" style="1" customWidth="1"/>
    <col min="4" max="4" width="21" style="1" customWidth="1"/>
    <col min="5" max="5" width="14" style="21" customWidth="1"/>
    <col min="6" max="6" width="18.28515625" style="1" customWidth="1"/>
    <col min="7" max="7" width="11.7109375" style="33" customWidth="1"/>
    <col min="8" max="8" width="17.28515625" style="39" bestFit="1" customWidth="1"/>
    <col min="9" max="16384" width="9.140625" style="1"/>
  </cols>
  <sheetData>
    <row r="1" spans="1:8" x14ac:dyDescent="0.25">
      <c r="A1" s="115" t="s">
        <v>0</v>
      </c>
      <c r="B1" s="115"/>
      <c r="C1" s="115"/>
      <c r="D1" s="115"/>
      <c r="E1" s="115"/>
      <c r="F1" s="115"/>
      <c r="G1" s="115"/>
      <c r="H1" s="115"/>
    </row>
    <row r="2" spans="1:8" x14ac:dyDescent="0.25">
      <c r="A2" s="115" t="s">
        <v>1</v>
      </c>
      <c r="B2" s="115"/>
      <c r="C2" s="115"/>
      <c r="D2" s="115"/>
      <c r="E2" s="115"/>
      <c r="F2" s="115"/>
      <c r="G2" s="115"/>
      <c r="H2" s="115"/>
    </row>
    <row r="4" spans="1:8" x14ac:dyDescent="0.25">
      <c r="A4" s="115" t="s">
        <v>2</v>
      </c>
      <c r="B4" s="115"/>
      <c r="C4" s="115"/>
      <c r="D4" s="115"/>
      <c r="E4" s="115"/>
      <c r="F4" s="115"/>
      <c r="G4" s="115"/>
      <c r="H4" s="115"/>
    </row>
    <row r="6" spans="1:8" x14ac:dyDescent="0.25">
      <c r="A6" s="115" t="s">
        <v>3</v>
      </c>
      <c r="B6" s="115"/>
      <c r="C6" s="115"/>
      <c r="D6" s="115"/>
      <c r="E6" s="115"/>
      <c r="F6" s="115"/>
      <c r="G6" s="115"/>
      <c r="H6" s="115"/>
    </row>
    <row r="8" spans="1:8" s="2" customFormat="1" ht="47.25" x14ac:dyDescent="0.25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76" t="s">
        <v>9</v>
      </c>
      <c r="G8" s="27" t="s">
        <v>128</v>
      </c>
      <c r="H8" s="27" t="s">
        <v>10</v>
      </c>
    </row>
    <row r="9" spans="1:8" x14ac:dyDescent="0.25">
      <c r="A9" s="16">
        <v>1</v>
      </c>
      <c r="B9" s="9" t="s">
        <v>11</v>
      </c>
      <c r="C9" s="14" t="s">
        <v>12</v>
      </c>
      <c r="D9" s="14" t="s">
        <v>110</v>
      </c>
      <c r="E9" s="16" t="s">
        <v>40</v>
      </c>
      <c r="F9" s="14">
        <v>25000</v>
      </c>
      <c r="G9" s="28">
        <v>0</v>
      </c>
      <c r="H9" s="34" t="s">
        <v>106</v>
      </c>
    </row>
    <row r="10" spans="1:8" x14ac:dyDescent="0.25">
      <c r="A10" s="17"/>
      <c r="B10" s="10"/>
      <c r="C10" s="11" t="s">
        <v>13</v>
      </c>
      <c r="D10" s="11" t="s">
        <v>110</v>
      </c>
      <c r="E10" s="17" t="s">
        <v>40</v>
      </c>
      <c r="F10" s="11">
        <v>25000</v>
      </c>
      <c r="G10" s="29">
        <v>0</v>
      </c>
      <c r="H10" s="35" t="s">
        <v>106</v>
      </c>
    </row>
    <row r="11" spans="1:8" x14ac:dyDescent="0.25">
      <c r="A11" s="18"/>
      <c r="B11" s="12"/>
      <c r="C11" s="13" t="s">
        <v>14</v>
      </c>
      <c r="D11" s="13" t="s">
        <v>110</v>
      </c>
      <c r="E11" s="18" t="s">
        <v>41</v>
      </c>
      <c r="F11" s="13">
        <v>2500</v>
      </c>
      <c r="G11" s="30">
        <v>0</v>
      </c>
      <c r="H11" s="36">
        <f>F11/1000-G11</f>
        <v>2.5</v>
      </c>
    </row>
    <row r="12" spans="1:8" x14ac:dyDescent="0.25">
      <c r="A12" s="16">
        <v>2</v>
      </c>
      <c r="B12" s="9" t="s">
        <v>15</v>
      </c>
      <c r="C12" s="14" t="s">
        <v>12</v>
      </c>
      <c r="D12" s="14" t="s">
        <v>111</v>
      </c>
      <c r="E12" s="16" t="s">
        <v>43</v>
      </c>
      <c r="F12" s="14">
        <v>16000</v>
      </c>
      <c r="G12" s="28">
        <v>3.4420000000000002</v>
      </c>
      <c r="H12" s="34">
        <f t="shared" ref="H12:H49" si="0">F12/1000-G12</f>
        <v>12.558</v>
      </c>
    </row>
    <row r="13" spans="1:8" x14ac:dyDescent="0.25">
      <c r="A13" s="18"/>
      <c r="B13" s="12"/>
      <c r="C13" s="13" t="s">
        <v>13</v>
      </c>
      <c r="D13" s="13" t="s">
        <v>111</v>
      </c>
      <c r="E13" s="18" t="s">
        <v>43</v>
      </c>
      <c r="F13" s="13">
        <v>16000</v>
      </c>
      <c r="G13" s="30">
        <v>1.6040000000000001</v>
      </c>
      <c r="H13" s="36">
        <f t="shared" si="0"/>
        <v>14.396000000000001</v>
      </c>
    </row>
    <row r="14" spans="1:8" x14ac:dyDescent="0.25">
      <c r="A14" s="19">
        <v>3</v>
      </c>
      <c r="B14" s="7" t="s">
        <v>16</v>
      </c>
      <c r="C14" s="72" t="s">
        <v>12</v>
      </c>
      <c r="D14" s="15" t="s">
        <v>110</v>
      </c>
      <c r="E14" s="19" t="s">
        <v>43</v>
      </c>
      <c r="F14" s="15">
        <v>10000</v>
      </c>
      <c r="G14" s="31">
        <v>0.13</v>
      </c>
      <c r="H14" s="37">
        <f t="shared" si="0"/>
        <v>9.8699999999999992</v>
      </c>
    </row>
    <row r="15" spans="1:8" x14ac:dyDescent="0.25">
      <c r="A15" s="20">
        <v>4</v>
      </c>
      <c r="B15" s="4" t="s">
        <v>17</v>
      </c>
      <c r="C15" s="15" t="s">
        <v>12</v>
      </c>
      <c r="D15" s="8" t="s">
        <v>110</v>
      </c>
      <c r="E15" s="20" t="s">
        <v>43</v>
      </c>
      <c r="F15" s="8">
        <v>10000</v>
      </c>
      <c r="G15" s="32">
        <v>8.5999999999999993E-2</v>
      </c>
      <c r="H15" s="38">
        <f t="shared" si="0"/>
        <v>9.9139999999999997</v>
      </c>
    </row>
    <row r="16" spans="1:8" x14ac:dyDescent="0.25">
      <c r="A16" s="16">
        <v>5</v>
      </c>
      <c r="B16" s="9" t="s">
        <v>18</v>
      </c>
      <c r="C16" s="14" t="s">
        <v>12</v>
      </c>
      <c r="D16" s="14" t="s">
        <v>125</v>
      </c>
      <c r="E16" s="16" t="s">
        <v>43</v>
      </c>
      <c r="F16" s="14">
        <v>40000</v>
      </c>
      <c r="G16" s="28">
        <v>1.806</v>
      </c>
      <c r="H16" s="34">
        <f t="shared" si="0"/>
        <v>38.194000000000003</v>
      </c>
    </row>
    <row r="17" spans="1:8" x14ac:dyDescent="0.25">
      <c r="A17" s="18"/>
      <c r="B17" s="12"/>
      <c r="C17" s="13" t="s">
        <v>13</v>
      </c>
      <c r="D17" s="13" t="s">
        <v>125</v>
      </c>
      <c r="E17" s="18" t="s">
        <v>45</v>
      </c>
      <c r="F17" s="13">
        <v>5600</v>
      </c>
      <c r="G17" s="30">
        <v>0</v>
      </c>
      <c r="H17" s="36" t="s">
        <v>106</v>
      </c>
    </row>
    <row r="18" spans="1:8" x14ac:dyDescent="0.25">
      <c r="A18" s="16">
        <v>6</v>
      </c>
      <c r="B18" s="9" t="s">
        <v>19</v>
      </c>
      <c r="C18" s="14" t="s">
        <v>12</v>
      </c>
      <c r="D18" s="14" t="s">
        <v>112</v>
      </c>
      <c r="E18" s="16" t="s">
        <v>42</v>
      </c>
      <c r="F18" s="14">
        <v>20000</v>
      </c>
      <c r="G18" s="28">
        <v>0</v>
      </c>
      <c r="H18" s="34" t="s">
        <v>106</v>
      </c>
    </row>
    <row r="19" spans="1:8" x14ac:dyDescent="0.25">
      <c r="A19" s="17"/>
      <c r="B19" s="10"/>
      <c r="C19" s="11" t="s">
        <v>13</v>
      </c>
      <c r="D19" s="11"/>
      <c r="E19" s="17" t="s">
        <v>42</v>
      </c>
      <c r="F19" s="11">
        <v>20000</v>
      </c>
      <c r="G19" s="29">
        <v>0.749</v>
      </c>
      <c r="H19" s="35">
        <f t="shared" si="0"/>
        <v>19.251000000000001</v>
      </c>
    </row>
    <row r="20" spans="1:8" x14ac:dyDescent="0.25">
      <c r="A20" s="18"/>
      <c r="B20" s="12"/>
      <c r="C20" s="13" t="s">
        <v>14</v>
      </c>
      <c r="D20" s="13"/>
      <c r="E20" s="18" t="s">
        <v>43</v>
      </c>
      <c r="F20" s="13">
        <v>10000</v>
      </c>
      <c r="G20" s="30">
        <v>0.53</v>
      </c>
      <c r="H20" s="36">
        <f t="shared" si="0"/>
        <v>9.4700000000000006</v>
      </c>
    </row>
    <row r="21" spans="1:8" x14ac:dyDescent="0.25">
      <c r="A21" s="16">
        <v>7</v>
      </c>
      <c r="B21" s="9" t="s">
        <v>20</v>
      </c>
      <c r="C21" s="14" t="s">
        <v>12</v>
      </c>
      <c r="D21" s="14" t="s">
        <v>111</v>
      </c>
      <c r="E21" s="16" t="s">
        <v>42</v>
      </c>
      <c r="F21" s="14">
        <v>16000</v>
      </c>
      <c r="G21" s="28">
        <v>0</v>
      </c>
      <c r="H21" s="34" t="s">
        <v>106</v>
      </c>
    </row>
    <row r="22" spans="1:8" x14ac:dyDescent="0.25">
      <c r="A22" s="18"/>
      <c r="B22" s="12"/>
      <c r="C22" s="13" t="s">
        <v>13</v>
      </c>
      <c r="D22" s="13"/>
      <c r="E22" s="18" t="s">
        <v>42</v>
      </c>
      <c r="F22" s="13">
        <v>16000</v>
      </c>
      <c r="G22" s="30">
        <v>0.39100000000000001</v>
      </c>
      <c r="H22" s="36">
        <f t="shared" si="0"/>
        <v>15.609</v>
      </c>
    </row>
    <row r="23" spans="1:8" x14ac:dyDescent="0.25">
      <c r="A23" s="20">
        <v>8</v>
      </c>
      <c r="B23" s="4" t="s">
        <v>21</v>
      </c>
      <c r="C23" s="15" t="s">
        <v>12</v>
      </c>
      <c r="D23" s="6" t="s">
        <v>113</v>
      </c>
      <c r="E23" s="20" t="s">
        <v>42</v>
      </c>
      <c r="F23" s="6">
        <v>2500</v>
      </c>
      <c r="G23" s="32">
        <v>6.5000000000000002E-2</v>
      </c>
      <c r="H23" s="38">
        <f t="shared" si="0"/>
        <v>2.4350000000000001</v>
      </c>
    </row>
    <row r="24" spans="1:8" x14ac:dyDescent="0.25">
      <c r="A24" s="16">
        <v>9</v>
      </c>
      <c r="B24" s="9" t="s">
        <v>22</v>
      </c>
      <c r="C24" s="14" t="s">
        <v>12</v>
      </c>
      <c r="D24" s="14" t="s">
        <v>114</v>
      </c>
      <c r="E24" s="16" t="s">
        <v>43</v>
      </c>
      <c r="F24" s="14">
        <v>6300</v>
      </c>
      <c r="G24" s="28">
        <v>0</v>
      </c>
      <c r="H24" s="34" t="s">
        <v>106</v>
      </c>
    </row>
    <row r="25" spans="1:8" x14ac:dyDescent="0.25">
      <c r="A25" s="18"/>
      <c r="B25" s="12"/>
      <c r="C25" s="13" t="s">
        <v>13</v>
      </c>
      <c r="D25" s="13"/>
      <c r="E25" s="18" t="s">
        <v>43</v>
      </c>
      <c r="F25" s="13">
        <v>6300</v>
      </c>
      <c r="G25" s="30">
        <v>0.90500000000000003</v>
      </c>
      <c r="H25" s="36">
        <f t="shared" si="0"/>
        <v>5.3949999999999996</v>
      </c>
    </row>
    <row r="26" spans="1:8" x14ac:dyDescent="0.25">
      <c r="A26" s="16">
        <v>10</v>
      </c>
      <c r="B26" s="9" t="s">
        <v>23</v>
      </c>
      <c r="C26" s="14" t="s">
        <v>12</v>
      </c>
      <c r="D26" s="14" t="s">
        <v>111</v>
      </c>
      <c r="E26" s="16" t="s">
        <v>42</v>
      </c>
      <c r="F26" s="14">
        <v>16000</v>
      </c>
      <c r="G26" s="28">
        <v>1.742</v>
      </c>
      <c r="H26" s="34">
        <f t="shared" si="0"/>
        <v>14.257999999999999</v>
      </c>
    </row>
    <row r="27" spans="1:8" x14ac:dyDescent="0.25">
      <c r="A27" s="18"/>
      <c r="B27" s="12"/>
      <c r="C27" s="13" t="s">
        <v>13</v>
      </c>
      <c r="D27" s="13"/>
      <c r="E27" s="18" t="s">
        <v>42</v>
      </c>
      <c r="F27" s="13">
        <v>16000</v>
      </c>
      <c r="G27" s="30">
        <v>0</v>
      </c>
      <c r="H27" s="36" t="s">
        <v>106</v>
      </c>
    </row>
    <row r="28" spans="1:8" ht="31.5" x14ac:dyDescent="0.25">
      <c r="A28" s="20">
        <v>11</v>
      </c>
      <c r="B28" s="4" t="s">
        <v>24</v>
      </c>
      <c r="C28" s="15" t="s">
        <v>12</v>
      </c>
      <c r="D28" s="74" t="s">
        <v>115</v>
      </c>
      <c r="E28" s="20" t="s">
        <v>42</v>
      </c>
      <c r="F28" s="15">
        <v>2500</v>
      </c>
      <c r="G28" s="32">
        <v>2.4E-2</v>
      </c>
      <c r="H28" s="38">
        <f t="shared" si="0"/>
        <v>2.476</v>
      </c>
    </row>
    <row r="29" spans="1:8" x14ac:dyDescent="0.25">
      <c r="A29" s="20">
        <v>12</v>
      </c>
      <c r="B29" s="4" t="s">
        <v>25</v>
      </c>
      <c r="C29" s="15" t="s">
        <v>12</v>
      </c>
      <c r="D29" s="8" t="s">
        <v>116</v>
      </c>
      <c r="E29" s="20" t="s">
        <v>42</v>
      </c>
      <c r="F29" s="8">
        <v>2500</v>
      </c>
      <c r="G29" s="32">
        <v>5.7000000000000002E-2</v>
      </c>
      <c r="H29" s="38">
        <f t="shared" si="0"/>
        <v>2.4430000000000001</v>
      </c>
    </row>
    <row r="30" spans="1:8" x14ac:dyDescent="0.25">
      <c r="A30" s="16">
        <v>13</v>
      </c>
      <c r="B30" s="9" t="s">
        <v>26</v>
      </c>
      <c r="C30" s="14" t="s">
        <v>12</v>
      </c>
      <c r="D30" s="14" t="s">
        <v>117</v>
      </c>
      <c r="E30" s="16" t="s">
        <v>43</v>
      </c>
      <c r="F30" s="14">
        <v>40000</v>
      </c>
      <c r="G30" s="28">
        <v>6.25</v>
      </c>
      <c r="H30" s="34">
        <f t="shared" si="0"/>
        <v>33.75</v>
      </c>
    </row>
    <row r="31" spans="1:8" x14ac:dyDescent="0.25">
      <c r="A31" s="18"/>
      <c r="B31" s="12"/>
      <c r="C31" s="13" t="s">
        <v>13</v>
      </c>
      <c r="D31" s="13"/>
      <c r="E31" s="18" t="s">
        <v>43</v>
      </c>
      <c r="F31" s="13">
        <v>20000</v>
      </c>
      <c r="G31" s="30">
        <v>2.605</v>
      </c>
      <c r="H31" s="36">
        <f t="shared" si="0"/>
        <v>17.395</v>
      </c>
    </row>
    <row r="32" spans="1:8" ht="31.5" x14ac:dyDescent="0.25">
      <c r="A32" s="16">
        <v>14</v>
      </c>
      <c r="B32" s="9" t="s">
        <v>27</v>
      </c>
      <c r="C32" s="14" t="s">
        <v>12</v>
      </c>
      <c r="D32" s="75" t="s">
        <v>118</v>
      </c>
      <c r="E32" s="16" t="s">
        <v>42</v>
      </c>
      <c r="F32" s="14">
        <v>10000</v>
      </c>
      <c r="G32" s="28">
        <v>0.40899999999999997</v>
      </c>
      <c r="H32" s="28">
        <f t="shared" si="0"/>
        <v>9.5909999999999993</v>
      </c>
    </row>
    <row r="33" spans="1:8" x14ac:dyDescent="0.25">
      <c r="A33" s="18"/>
      <c r="B33" s="12"/>
      <c r="C33" s="13" t="s">
        <v>13</v>
      </c>
      <c r="D33" s="13"/>
      <c r="E33" s="18" t="s">
        <v>42</v>
      </c>
      <c r="F33" s="13">
        <v>10000</v>
      </c>
      <c r="G33" s="30">
        <v>0.872</v>
      </c>
      <c r="H33" s="30">
        <f t="shared" si="0"/>
        <v>9.1280000000000001</v>
      </c>
    </row>
    <row r="34" spans="1:8" x14ac:dyDescent="0.25">
      <c r="A34" s="20">
        <v>15</v>
      </c>
      <c r="B34" s="4" t="s">
        <v>28</v>
      </c>
      <c r="C34" s="15" t="s">
        <v>12</v>
      </c>
      <c r="D34" s="6" t="s">
        <v>119</v>
      </c>
      <c r="E34" s="20" t="s">
        <v>44</v>
      </c>
      <c r="F34" s="6">
        <v>6300</v>
      </c>
      <c r="G34" s="32">
        <v>8.4000000000000005E-2</v>
      </c>
      <c r="H34" s="38">
        <f t="shared" si="0"/>
        <v>6.2160000000000002</v>
      </c>
    </row>
    <row r="35" spans="1:8" ht="47.25" x14ac:dyDescent="0.25">
      <c r="A35" s="16">
        <v>16</v>
      </c>
      <c r="B35" s="9" t="s">
        <v>29</v>
      </c>
      <c r="C35" s="14" t="s">
        <v>12</v>
      </c>
      <c r="D35" s="75" t="s">
        <v>127</v>
      </c>
      <c r="E35" s="16" t="s">
        <v>42</v>
      </c>
      <c r="F35" s="14">
        <v>6300</v>
      </c>
      <c r="G35" s="28">
        <v>0</v>
      </c>
      <c r="H35" s="34" t="s">
        <v>106</v>
      </c>
    </row>
    <row r="36" spans="1:8" x14ac:dyDescent="0.25">
      <c r="A36" s="18"/>
      <c r="B36" s="12"/>
      <c r="C36" s="13" t="s">
        <v>13</v>
      </c>
      <c r="D36" s="13"/>
      <c r="E36" s="22" t="s">
        <v>47</v>
      </c>
      <c r="F36" s="13">
        <v>10000</v>
      </c>
      <c r="G36" s="30">
        <v>0</v>
      </c>
      <c r="H36" s="36" t="s">
        <v>106</v>
      </c>
    </row>
    <row r="37" spans="1:8" x14ac:dyDescent="0.25">
      <c r="A37" s="16">
        <v>17</v>
      </c>
      <c r="B37" s="9" t="s">
        <v>30</v>
      </c>
      <c r="C37" s="14" t="s">
        <v>12</v>
      </c>
      <c r="D37" s="14" t="s">
        <v>126</v>
      </c>
      <c r="E37" s="16" t="s">
        <v>45</v>
      </c>
      <c r="F37" s="14">
        <v>5600</v>
      </c>
      <c r="G37" s="28">
        <v>0.188</v>
      </c>
      <c r="H37" s="34">
        <f t="shared" si="0"/>
        <v>5.4119999999999999</v>
      </c>
    </row>
    <row r="38" spans="1:8" x14ac:dyDescent="0.25">
      <c r="A38" s="18"/>
      <c r="B38" s="12"/>
      <c r="C38" s="13" t="s">
        <v>13</v>
      </c>
      <c r="D38" s="13"/>
      <c r="E38" s="18" t="s">
        <v>45</v>
      </c>
      <c r="F38" s="13">
        <v>5600</v>
      </c>
      <c r="G38" s="30">
        <v>0</v>
      </c>
      <c r="H38" s="36" t="s">
        <v>106</v>
      </c>
    </row>
    <row r="39" spans="1:8" x14ac:dyDescent="0.25">
      <c r="A39" s="20">
        <v>18</v>
      </c>
      <c r="B39" s="4" t="s">
        <v>31</v>
      </c>
      <c r="C39" s="15" t="s">
        <v>12</v>
      </c>
      <c r="D39" s="6" t="s">
        <v>126</v>
      </c>
      <c r="E39" s="20" t="s">
        <v>45</v>
      </c>
      <c r="F39" s="6">
        <v>560</v>
      </c>
      <c r="G39" s="73">
        <v>1.2999999999999999E-2</v>
      </c>
      <c r="H39" s="38">
        <f t="shared" si="0"/>
        <v>0.54700000000000004</v>
      </c>
    </row>
    <row r="40" spans="1:8" x14ac:dyDescent="0.25">
      <c r="A40" s="16">
        <v>19</v>
      </c>
      <c r="B40" s="9" t="s">
        <v>32</v>
      </c>
      <c r="C40" s="14" t="s">
        <v>12</v>
      </c>
      <c r="D40" s="14" t="s">
        <v>125</v>
      </c>
      <c r="E40" s="16" t="s">
        <v>45</v>
      </c>
      <c r="F40" s="14">
        <v>2500</v>
      </c>
      <c r="G40" s="28">
        <v>0</v>
      </c>
      <c r="H40" s="34" t="s">
        <v>106</v>
      </c>
    </row>
    <row r="41" spans="1:8" x14ac:dyDescent="0.25">
      <c r="A41" s="18"/>
      <c r="B41" s="12"/>
      <c r="C41" s="13" t="s">
        <v>13</v>
      </c>
      <c r="D41" s="13" t="s">
        <v>125</v>
      </c>
      <c r="E41" s="18" t="s">
        <v>45</v>
      </c>
      <c r="F41" s="13">
        <v>2500</v>
      </c>
      <c r="G41" s="30">
        <v>5.0000000000000001E-3</v>
      </c>
      <c r="H41" s="36">
        <f t="shared" si="0"/>
        <v>2.4950000000000001</v>
      </c>
    </row>
    <row r="42" spans="1:8" x14ac:dyDescent="0.25">
      <c r="A42" s="20">
        <v>20</v>
      </c>
      <c r="B42" s="4" t="s">
        <v>33</v>
      </c>
      <c r="C42" s="15" t="s">
        <v>12</v>
      </c>
      <c r="D42" s="15" t="s">
        <v>110</v>
      </c>
      <c r="E42" s="20" t="s">
        <v>45</v>
      </c>
      <c r="F42" s="15">
        <v>1600</v>
      </c>
      <c r="G42" s="73">
        <v>5.5E-2</v>
      </c>
      <c r="H42" s="38">
        <f t="shared" si="0"/>
        <v>1.5450000000000002</v>
      </c>
    </row>
    <row r="43" spans="1:8" x14ac:dyDescent="0.25">
      <c r="A43" s="20">
        <v>21</v>
      </c>
      <c r="B43" s="4" t="s">
        <v>34</v>
      </c>
      <c r="C43" s="15" t="s">
        <v>12</v>
      </c>
      <c r="D43" s="15" t="s">
        <v>120</v>
      </c>
      <c r="E43" s="20" t="s">
        <v>45</v>
      </c>
      <c r="F43" s="15">
        <v>6300</v>
      </c>
      <c r="G43" s="32">
        <v>0.36799999999999999</v>
      </c>
      <c r="H43" s="38">
        <f t="shared" si="0"/>
        <v>5.9319999999999995</v>
      </c>
    </row>
    <row r="44" spans="1:8" ht="31.5" x14ac:dyDescent="0.25">
      <c r="A44" s="16">
        <v>22</v>
      </c>
      <c r="B44" s="9" t="s">
        <v>35</v>
      </c>
      <c r="C44" s="14" t="s">
        <v>12</v>
      </c>
      <c r="D44" s="75" t="s">
        <v>121</v>
      </c>
      <c r="E44" s="16" t="s">
        <v>45</v>
      </c>
      <c r="F44" s="14">
        <v>4000</v>
      </c>
      <c r="G44" s="28">
        <v>6.7000000000000004E-2</v>
      </c>
      <c r="H44" s="34">
        <f t="shared" si="0"/>
        <v>3.9329999999999998</v>
      </c>
    </row>
    <row r="45" spans="1:8" x14ac:dyDescent="0.25">
      <c r="A45" s="18"/>
      <c r="B45" s="12"/>
      <c r="C45" s="13" t="s">
        <v>13</v>
      </c>
      <c r="D45" s="13"/>
      <c r="E45" s="18" t="s">
        <v>45</v>
      </c>
      <c r="F45" s="13">
        <v>4000</v>
      </c>
      <c r="G45" s="30">
        <v>0</v>
      </c>
      <c r="H45" s="36" t="s">
        <v>106</v>
      </c>
    </row>
    <row r="46" spans="1:8" x14ac:dyDescent="0.25">
      <c r="A46" s="16">
        <v>23</v>
      </c>
      <c r="B46" s="9" t="s">
        <v>36</v>
      </c>
      <c r="C46" s="14" t="s">
        <v>12</v>
      </c>
      <c r="D46" s="14" t="s">
        <v>122</v>
      </c>
      <c r="E46" s="16" t="s">
        <v>45</v>
      </c>
      <c r="F46" s="14">
        <v>4000</v>
      </c>
      <c r="G46" s="28">
        <v>8.2000000000000003E-2</v>
      </c>
      <c r="H46" s="34">
        <f t="shared" si="0"/>
        <v>3.9180000000000001</v>
      </c>
    </row>
    <row r="47" spans="1:8" x14ac:dyDescent="0.25">
      <c r="A47" s="18"/>
      <c r="B47" s="12"/>
      <c r="C47" s="13" t="s">
        <v>13</v>
      </c>
      <c r="D47" s="13"/>
      <c r="E47" s="18" t="s">
        <v>45</v>
      </c>
      <c r="F47" s="13">
        <v>4000</v>
      </c>
      <c r="G47" s="30">
        <v>0</v>
      </c>
      <c r="H47" s="36" t="s">
        <v>106</v>
      </c>
    </row>
    <row r="48" spans="1:8" x14ac:dyDescent="0.25">
      <c r="A48" s="20">
        <v>24</v>
      </c>
      <c r="B48" s="4" t="s">
        <v>37</v>
      </c>
      <c r="C48" s="15" t="s">
        <v>12</v>
      </c>
      <c r="D48" s="15" t="s">
        <v>123</v>
      </c>
      <c r="E48" s="20" t="s">
        <v>46</v>
      </c>
      <c r="F48" s="15"/>
      <c r="G48" s="32">
        <v>0</v>
      </c>
      <c r="H48" s="38" t="s">
        <v>107</v>
      </c>
    </row>
    <row r="49" spans="1:8" x14ac:dyDescent="0.25">
      <c r="A49" s="20">
        <v>25</v>
      </c>
      <c r="B49" s="4" t="s">
        <v>38</v>
      </c>
      <c r="C49" s="15" t="s">
        <v>12</v>
      </c>
      <c r="D49" s="15" t="s">
        <v>124</v>
      </c>
      <c r="E49" s="20" t="s">
        <v>45</v>
      </c>
      <c r="F49" s="15">
        <v>1000</v>
      </c>
      <c r="G49" s="32">
        <v>7.3999999999999996E-2</v>
      </c>
      <c r="H49" s="38">
        <f t="shared" si="0"/>
        <v>0.92600000000000005</v>
      </c>
    </row>
    <row r="50" spans="1:8" x14ac:dyDescent="0.25">
      <c r="A50" s="20">
        <v>26</v>
      </c>
      <c r="B50" s="4" t="s">
        <v>39</v>
      </c>
      <c r="C50" s="15" t="s">
        <v>12</v>
      </c>
      <c r="D50" s="15" t="s">
        <v>125</v>
      </c>
      <c r="E50" s="20" t="s">
        <v>41</v>
      </c>
      <c r="F50" s="15">
        <v>2500</v>
      </c>
      <c r="G50" s="32">
        <v>0</v>
      </c>
      <c r="H50" s="38" t="s">
        <v>106</v>
      </c>
    </row>
    <row r="52" spans="1:8" x14ac:dyDescent="0.25">
      <c r="A52" s="115" t="s">
        <v>48</v>
      </c>
      <c r="B52" s="115"/>
      <c r="C52" s="115"/>
      <c r="D52" s="115"/>
      <c r="E52" s="115"/>
      <c r="F52" s="115"/>
      <c r="G52" s="115"/>
      <c r="H52" s="115"/>
    </row>
    <row r="54" spans="1:8" ht="63" x14ac:dyDescent="0.25">
      <c r="A54" s="3" t="s">
        <v>4</v>
      </c>
      <c r="B54" s="3" t="s">
        <v>49</v>
      </c>
      <c r="C54" s="3" t="s">
        <v>50</v>
      </c>
      <c r="D54" s="3" t="s">
        <v>51</v>
      </c>
      <c r="E54" s="3" t="s">
        <v>8</v>
      </c>
      <c r="F54" s="3" t="s">
        <v>52</v>
      </c>
      <c r="G54" s="27" t="s">
        <v>129</v>
      </c>
      <c r="H54" s="27" t="s">
        <v>10</v>
      </c>
    </row>
    <row r="55" spans="1:8" x14ac:dyDescent="0.25">
      <c r="A55" s="20"/>
      <c r="B55" s="40" t="s">
        <v>53</v>
      </c>
      <c r="C55" s="4"/>
      <c r="D55" s="15"/>
      <c r="E55" s="40"/>
      <c r="F55" s="15"/>
      <c r="G55" s="32"/>
      <c r="H55" s="38"/>
    </row>
    <row r="56" spans="1:8" x14ac:dyDescent="0.25">
      <c r="A56" s="16">
        <v>1</v>
      </c>
      <c r="B56" s="41" t="s">
        <v>54</v>
      </c>
      <c r="C56" s="56">
        <v>3.3</v>
      </c>
      <c r="D56" s="64">
        <v>120</v>
      </c>
      <c r="E56" s="42">
        <v>110</v>
      </c>
      <c r="F56" s="43">
        <f>1.73*115*330/1000</f>
        <v>65.653499999999994</v>
      </c>
      <c r="G56" s="28">
        <v>6.5380000000000003</v>
      </c>
      <c r="H56" s="43">
        <f>F56-G56</f>
        <v>59.115499999999997</v>
      </c>
    </row>
    <row r="57" spans="1:8" x14ac:dyDescent="0.25">
      <c r="A57" s="17">
        <v>2</v>
      </c>
      <c r="B57" s="44" t="s">
        <v>55</v>
      </c>
      <c r="C57" s="57">
        <v>217.4</v>
      </c>
      <c r="D57" s="65">
        <v>150</v>
      </c>
      <c r="E57" s="45">
        <v>110</v>
      </c>
      <c r="F57" s="46">
        <f>1.73*115*445/1000</f>
        <v>88.532749999999993</v>
      </c>
      <c r="G57" s="29">
        <v>2.653</v>
      </c>
      <c r="H57" s="46">
        <f t="shared" ref="H57:H108" si="1">F57-G57</f>
        <v>85.879749999999987</v>
      </c>
    </row>
    <row r="58" spans="1:8" x14ac:dyDescent="0.25">
      <c r="A58" s="17">
        <v>3</v>
      </c>
      <c r="B58" s="44" t="s">
        <v>56</v>
      </c>
      <c r="C58" s="57">
        <v>217.4</v>
      </c>
      <c r="D58" s="65">
        <v>150</v>
      </c>
      <c r="E58" s="45">
        <v>110</v>
      </c>
      <c r="F58" s="46">
        <f>1.73*115*445/1000</f>
        <v>88.532749999999993</v>
      </c>
      <c r="G58" s="29">
        <v>1.1870000000000001</v>
      </c>
      <c r="H58" s="46">
        <f t="shared" si="1"/>
        <v>87.345749999999995</v>
      </c>
    </row>
    <row r="59" spans="1:8" x14ac:dyDescent="0.25">
      <c r="A59" s="17">
        <v>4</v>
      </c>
      <c r="B59" s="44" t="s">
        <v>57</v>
      </c>
      <c r="C59" s="58">
        <v>17.3</v>
      </c>
      <c r="D59" s="65" t="s">
        <v>109</v>
      </c>
      <c r="E59" s="45">
        <v>110</v>
      </c>
      <c r="F59" s="46">
        <f>1.73*115*445/1000</f>
        <v>88.532749999999993</v>
      </c>
      <c r="G59" s="29">
        <v>6.5419999999999998</v>
      </c>
      <c r="H59" s="46">
        <f t="shared" si="1"/>
        <v>81.990749999999991</v>
      </c>
    </row>
    <row r="60" spans="1:8" x14ac:dyDescent="0.25">
      <c r="A60" s="17">
        <v>5</v>
      </c>
      <c r="B60" s="44" t="s">
        <v>58</v>
      </c>
      <c r="C60" s="57">
        <v>17.3</v>
      </c>
      <c r="D60" s="65" t="s">
        <v>109</v>
      </c>
      <c r="E60" s="45">
        <v>110</v>
      </c>
      <c r="F60" s="46">
        <f>1.73*115*445/1000</f>
        <v>88.532749999999993</v>
      </c>
      <c r="G60" s="29">
        <v>3.4540000000000002</v>
      </c>
      <c r="H60" s="46">
        <f t="shared" si="1"/>
        <v>85.078749999999999</v>
      </c>
    </row>
    <row r="61" spans="1:8" x14ac:dyDescent="0.25">
      <c r="A61" s="17">
        <v>6</v>
      </c>
      <c r="B61" s="44" t="s">
        <v>59</v>
      </c>
      <c r="C61" s="57">
        <v>47.1</v>
      </c>
      <c r="D61" s="65">
        <v>120</v>
      </c>
      <c r="E61" s="45">
        <v>110</v>
      </c>
      <c r="F61" s="46">
        <f>1.73*115*445/1000</f>
        <v>88.532749999999993</v>
      </c>
      <c r="G61" s="29">
        <v>1.4019999999999999</v>
      </c>
      <c r="H61" s="46">
        <f t="shared" si="1"/>
        <v>87.130749999999992</v>
      </c>
    </row>
    <row r="62" spans="1:8" x14ac:dyDescent="0.25">
      <c r="A62" s="17">
        <v>7</v>
      </c>
      <c r="B62" s="44" t="s">
        <v>60</v>
      </c>
      <c r="C62" s="57">
        <v>36.9</v>
      </c>
      <c r="D62" s="65">
        <v>120</v>
      </c>
      <c r="E62" s="45">
        <v>110</v>
      </c>
      <c r="F62" s="46">
        <f>1.73*115*380/1000</f>
        <v>75.600999999999999</v>
      </c>
      <c r="G62" s="29">
        <v>4.1849999999999996</v>
      </c>
      <c r="H62" s="46">
        <f t="shared" si="1"/>
        <v>71.415999999999997</v>
      </c>
    </row>
    <row r="63" spans="1:8" x14ac:dyDescent="0.25">
      <c r="A63" s="17">
        <v>8</v>
      </c>
      <c r="B63" s="44" t="s">
        <v>61</v>
      </c>
      <c r="C63" s="58">
        <v>39.32</v>
      </c>
      <c r="D63" s="65">
        <v>185</v>
      </c>
      <c r="E63" s="45">
        <v>110</v>
      </c>
      <c r="F63" s="46">
        <f>1.73*115*510/1000</f>
        <v>101.4645</v>
      </c>
      <c r="G63" s="29">
        <v>9.2119999999999997</v>
      </c>
      <c r="H63" s="46">
        <f t="shared" si="1"/>
        <v>92.252499999999998</v>
      </c>
    </row>
    <row r="64" spans="1:8" x14ac:dyDescent="0.25">
      <c r="A64" s="17">
        <v>9</v>
      </c>
      <c r="B64" s="44" t="s">
        <v>105</v>
      </c>
      <c r="C64" s="57">
        <v>172.4</v>
      </c>
      <c r="D64" s="65">
        <v>185</v>
      </c>
      <c r="E64" s="45">
        <v>110</v>
      </c>
      <c r="F64" s="46">
        <f>1.73*115*510/1000</f>
        <v>101.4645</v>
      </c>
      <c r="G64" s="29">
        <v>4.3239999999999998</v>
      </c>
      <c r="H64" s="46">
        <f t="shared" si="1"/>
        <v>97.140500000000003</v>
      </c>
    </row>
    <row r="65" spans="1:8" x14ac:dyDescent="0.25">
      <c r="A65" s="17">
        <v>10</v>
      </c>
      <c r="B65" s="44" t="s">
        <v>62</v>
      </c>
      <c r="C65" s="57">
        <v>3.35</v>
      </c>
      <c r="D65" s="65">
        <v>120</v>
      </c>
      <c r="E65" s="45">
        <v>110</v>
      </c>
      <c r="F65" s="46">
        <f>1.73*115*380/1000</f>
        <v>75.600999999999999</v>
      </c>
      <c r="G65" s="29">
        <v>2.7250000000000001</v>
      </c>
      <c r="H65" s="46">
        <f t="shared" si="1"/>
        <v>72.876000000000005</v>
      </c>
    </row>
    <row r="66" spans="1:8" x14ac:dyDescent="0.25">
      <c r="A66" s="18">
        <v>11</v>
      </c>
      <c r="B66" s="47" t="s">
        <v>63</v>
      </c>
      <c r="C66" s="59">
        <v>19</v>
      </c>
      <c r="D66" s="66">
        <v>35</v>
      </c>
      <c r="E66" s="48">
        <v>35</v>
      </c>
      <c r="F66" s="49">
        <f>1.73*37*175/1000</f>
        <v>11.201750000000001</v>
      </c>
      <c r="G66" s="30">
        <v>8.5000000000000006E-2</v>
      </c>
      <c r="H66" s="49">
        <f t="shared" si="1"/>
        <v>11.11675</v>
      </c>
    </row>
    <row r="67" spans="1:8" x14ac:dyDescent="0.25">
      <c r="A67" s="20"/>
      <c r="B67" s="40" t="s">
        <v>64</v>
      </c>
      <c r="C67" s="60"/>
      <c r="D67" s="67"/>
      <c r="E67" s="40"/>
      <c r="F67" s="50"/>
      <c r="G67" s="32"/>
      <c r="H67" s="50"/>
    </row>
    <row r="68" spans="1:8" x14ac:dyDescent="0.25">
      <c r="A68" s="16">
        <v>12</v>
      </c>
      <c r="B68" s="41" t="s">
        <v>65</v>
      </c>
      <c r="C68" s="61">
        <v>89.5</v>
      </c>
      <c r="D68" s="64">
        <v>120</v>
      </c>
      <c r="E68" s="42">
        <v>110</v>
      </c>
      <c r="F68" s="43">
        <f>1.73*115*380/1000</f>
        <v>75.600999999999999</v>
      </c>
      <c r="G68" s="28">
        <v>6.9000000000000006E-2</v>
      </c>
      <c r="H68" s="43">
        <f t="shared" si="1"/>
        <v>75.531999999999996</v>
      </c>
    </row>
    <row r="69" spans="1:8" x14ac:dyDescent="0.25">
      <c r="A69" s="17">
        <v>13</v>
      </c>
      <c r="B69" s="44" t="s">
        <v>66</v>
      </c>
      <c r="C69" s="57">
        <v>118.61</v>
      </c>
      <c r="D69" s="65">
        <v>120</v>
      </c>
      <c r="E69" s="45">
        <v>110</v>
      </c>
      <c r="F69" s="46">
        <f>1.73*115*380/1000</f>
        <v>75.600999999999999</v>
      </c>
      <c r="G69" s="29">
        <v>0</v>
      </c>
      <c r="H69" s="53" t="s">
        <v>106</v>
      </c>
    </row>
    <row r="70" spans="1:8" x14ac:dyDescent="0.25">
      <c r="A70" s="18">
        <v>14</v>
      </c>
      <c r="B70" s="47" t="s">
        <v>67</v>
      </c>
      <c r="C70" s="59">
        <v>90.5</v>
      </c>
      <c r="D70" s="66">
        <v>120</v>
      </c>
      <c r="E70" s="48">
        <v>110</v>
      </c>
      <c r="F70" s="49">
        <f>1.73*115*380/1000</f>
        <v>75.600999999999999</v>
      </c>
      <c r="G70" s="30">
        <v>1.268</v>
      </c>
      <c r="H70" s="49">
        <f t="shared" si="1"/>
        <v>74.332999999999998</v>
      </c>
    </row>
    <row r="71" spans="1:8" x14ac:dyDescent="0.25">
      <c r="A71" s="20"/>
      <c r="B71" s="40" t="s">
        <v>68</v>
      </c>
      <c r="C71" s="62"/>
      <c r="D71" s="67"/>
      <c r="E71" s="40"/>
      <c r="F71" s="50"/>
      <c r="G71" s="32"/>
      <c r="H71" s="50"/>
    </row>
    <row r="72" spans="1:8" x14ac:dyDescent="0.25">
      <c r="A72" s="16">
        <v>15</v>
      </c>
      <c r="B72" s="41" t="s">
        <v>69</v>
      </c>
      <c r="C72" s="56">
        <v>51</v>
      </c>
      <c r="D72" s="64">
        <v>185</v>
      </c>
      <c r="E72" s="42">
        <v>110</v>
      </c>
      <c r="F72" s="43">
        <f>1.73*115*510/1000</f>
        <v>101.4645</v>
      </c>
      <c r="G72" s="28">
        <v>4.4790000000000001</v>
      </c>
      <c r="H72" s="43">
        <f t="shared" si="1"/>
        <v>96.985500000000002</v>
      </c>
    </row>
    <row r="73" spans="1:8" x14ac:dyDescent="0.25">
      <c r="A73" s="18">
        <v>16</v>
      </c>
      <c r="B73" s="47" t="s">
        <v>70</v>
      </c>
      <c r="C73" s="63">
        <v>2.2599999999999998</v>
      </c>
      <c r="D73" s="66">
        <v>70</v>
      </c>
      <c r="E73" s="48">
        <v>35</v>
      </c>
      <c r="F73" s="49">
        <f>1.73*37*265/1000</f>
        <v>16.96265</v>
      </c>
      <c r="G73" s="30">
        <v>2.0470000000000002</v>
      </c>
      <c r="H73" s="49">
        <f t="shared" si="1"/>
        <v>14.915649999999999</v>
      </c>
    </row>
    <row r="74" spans="1:8" x14ac:dyDescent="0.25">
      <c r="A74" s="20"/>
      <c r="B74" s="40" t="s">
        <v>71</v>
      </c>
      <c r="C74" s="60"/>
      <c r="D74" s="67"/>
      <c r="E74" s="40"/>
      <c r="F74" s="50"/>
      <c r="G74" s="32"/>
      <c r="H74" s="50"/>
    </row>
    <row r="75" spans="1:8" x14ac:dyDescent="0.25">
      <c r="A75" s="16">
        <v>17</v>
      </c>
      <c r="B75" s="41" t="s">
        <v>72</v>
      </c>
      <c r="C75" s="56">
        <v>30</v>
      </c>
      <c r="D75" s="64">
        <v>95</v>
      </c>
      <c r="E75" s="42">
        <v>35</v>
      </c>
      <c r="F75" s="43">
        <f>1.73*37*330/1000</f>
        <v>21.123300000000004</v>
      </c>
      <c r="G75" s="28">
        <v>4.2000000000000003E-2</v>
      </c>
      <c r="H75" s="43">
        <f t="shared" si="1"/>
        <v>21.081300000000002</v>
      </c>
    </row>
    <row r="76" spans="1:8" x14ac:dyDescent="0.25">
      <c r="A76" s="17">
        <v>18</v>
      </c>
      <c r="B76" s="44" t="s">
        <v>73</v>
      </c>
      <c r="C76" s="57">
        <v>53.3</v>
      </c>
      <c r="D76" s="65">
        <v>70</v>
      </c>
      <c r="E76" s="45">
        <v>35</v>
      </c>
      <c r="F76" s="46">
        <f>1.73*37*265/1000</f>
        <v>16.96265</v>
      </c>
      <c r="G76" s="29">
        <v>1.7490000000000001</v>
      </c>
      <c r="H76" s="46">
        <f t="shared" si="1"/>
        <v>15.213649999999999</v>
      </c>
    </row>
    <row r="77" spans="1:8" x14ac:dyDescent="0.25">
      <c r="A77" s="17">
        <v>19</v>
      </c>
      <c r="B77" s="44" t="s">
        <v>74</v>
      </c>
      <c r="C77" s="58">
        <v>30.9</v>
      </c>
      <c r="D77" s="65">
        <v>70</v>
      </c>
      <c r="E77" s="45">
        <v>35</v>
      </c>
      <c r="F77" s="46">
        <f>1.73*37*265/1000</f>
        <v>16.96265</v>
      </c>
      <c r="G77" s="29">
        <v>0</v>
      </c>
      <c r="H77" s="53" t="s">
        <v>106</v>
      </c>
    </row>
    <row r="78" spans="1:8" x14ac:dyDescent="0.25">
      <c r="A78" s="17">
        <v>20</v>
      </c>
      <c r="B78" s="44" t="s">
        <v>75</v>
      </c>
      <c r="C78" s="57">
        <v>33.14</v>
      </c>
      <c r="D78" s="65">
        <v>70</v>
      </c>
      <c r="E78" s="45">
        <v>35</v>
      </c>
      <c r="F78" s="46">
        <f>1.73*37*265/1000</f>
        <v>16.96265</v>
      </c>
      <c r="G78" s="29">
        <v>0</v>
      </c>
      <c r="H78" s="53" t="s">
        <v>106</v>
      </c>
    </row>
    <row r="79" spans="1:8" x14ac:dyDescent="0.25">
      <c r="A79" s="18">
        <v>21</v>
      </c>
      <c r="B79" s="47" t="s">
        <v>76</v>
      </c>
      <c r="C79" s="63">
        <v>44.5</v>
      </c>
      <c r="D79" s="66">
        <v>95</v>
      </c>
      <c r="E79" s="48">
        <v>35</v>
      </c>
      <c r="F79" s="49">
        <f>1.73*37*330/1000</f>
        <v>21.123300000000004</v>
      </c>
      <c r="G79" s="30">
        <v>9.6000000000000002E-2</v>
      </c>
      <c r="H79" s="49">
        <f t="shared" si="1"/>
        <v>21.027300000000004</v>
      </c>
    </row>
    <row r="80" spans="1:8" x14ac:dyDescent="0.25">
      <c r="A80" s="20"/>
      <c r="B80" s="40" t="s">
        <v>77</v>
      </c>
      <c r="C80" s="62"/>
      <c r="D80" s="67"/>
      <c r="E80" s="40"/>
      <c r="F80" s="50"/>
      <c r="G80" s="32"/>
      <c r="H80" s="50"/>
    </row>
    <row r="81" spans="1:8" x14ac:dyDescent="0.25">
      <c r="A81" s="20">
        <v>22</v>
      </c>
      <c r="B81" s="5" t="s">
        <v>78</v>
      </c>
      <c r="C81" s="60">
        <v>15.4</v>
      </c>
      <c r="D81" s="67">
        <v>95</v>
      </c>
      <c r="E81" s="51">
        <v>35</v>
      </c>
      <c r="F81" s="52">
        <f>1.73*37*330/1000</f>
        <v>21.123300000000004</v>
      </c>
      <c r="G81" s="32">
        <v>0</v>
      </c>
      <c r="H81" s="54" t="s">
        <v>106</v>
      </c>
    </row>
    <row r="82" spans="1:8" x14ac:dyDescent="0.25">
      <c r="A82" s="20"/>
      <c r="B82" s="40" t="s">
        <v>79</v>
      </c>
      <c r="C82" s="62"/>
      <c r="D82" s="67"/>
      <c r="E82" s="40"/>
      <c r="F82" s="50"/>
      <c r="G82" s="32"/>
      <c r="H82" s="50"/>
    </row>
    <row r="83" spans="1:8" x14ac:dyDescent="0.25">
      <c r="A83" s="20">
        <v>23</v>
      </c>
      <c r="B83" s="5" t="s">
        <v>80</v>
      </c>
      <c r="C83" s="60">
        <v>4</v>
      </c>
      <c r="D83" s="67">
        <v>95</v>
      </c>
      <c r="E83" s="51">
        <v>110</v>
      </c>
      <c r="F83" s="52">
        <f>1.73*115*330/1000</f>
        <v>65.653499999999994</v>
      </c>
      <c r="G83" s="32">
        <v>0</v>
      </c>
      <c r="H83" s="54" t="s">
        <v>106</v>
      </c>
    </row>
    <row r="84" spans="1:8" x14ac:dyDescent="0.25">
      <c r="A84" s="20"/>
      <c r="B84" s="40" t="s">
        <v>81</v>
      </c>
      <c r="C84" s="62"/>
      <c r="D84" s="67"/>
      <c r="E84" s="40"/>
      <c r="F84" s="50"/>
      <c r="G84" s="32"/>
      <c r="H84" s="50"/>
    </row>
    <row r="85" spans="1:8" x14ac:dyDescent="0.25">
      <c r="A85" s="16">
        <v>24</v>
      </c>
      <c r="B85" s="41" t="s">
        <v>66</v>
      </c>
      <c r="C85" s="56">
        <v>118.61</v>
      </c>
      <c r="D85" s="64">
        <v>120</v>
      </c>
      <c r="E85" s="42">
        <v>110</v>
      </c>
      <c r="F85" s="43">
        <f>1.73*115*380/1000</f>
        <v>75.600999999999999</v>
      </c>
      <c r="G85" s="28">
        <v>0.03</v>
      </c>
      <c r="H85" s="43">
        <f t="shared" si="1"/>
        <v>75.570999999999998</v>
      </c>
    </row>
    <row r="86" spans="1:8" x14ac:dyDescent="0.25">
      <c r="A86" s="17">
        <v>25</v>
      </c>
      <c r="B86" s="44" t="s">
        <v>82</v>
      </c>
      <c r="C86" s="57">
        <v>48.3</v>
      </c>
      <c r="D86" s="65">
        <v>185</v>
      </c>
      <c r="E86" s="45">
        <v>110</v>
      </c>
      <c r="F86" s="46">
        <f>1.73*115*510/1000</f>
        <v>101.4645</v>
      </c>
      <c r="G86" s="29">
        <v>4.8639999999999999</v>
      </c>
      <c r="H86" s="46">
        <f t="shared" si="1"/>
        <v>96.600499999999997</v>
      </c>
    </row>
    <row r="87" spans="1:8" x14ac:dyDescent="0.25">
      <c r="A87" s="18">
        <v>26</v>
      </c>
      <c r="B87" s="47" t="s">
        <v>83</v>
      </c>
      <c r="C87" s="63">
        <v>30.5</v>
      </c>
      <c r="D87" s="66">
        <v>50</v>
      </c>
      <c r="E87" s="48">
        <v>35</v>
      </c>
      <c r="F87" s="49">
        <f>1.73*37*210/1000</f>
        <v>13.4421</v>
      </c>
      <c r="G87" s="30">
        <v>1.3759999999999999</v>
      </c>
      <c r="H87" s="49">
        <f t="shared" si="1"/>
        <v>12.0661</v>
      </c>
    </row>
    <row r="88" spans="1:8" x14ac:dyDescent="0.25">
      <c r="A88" s="20"/>
      <c r="B88" s="40" t="s">
        <v>84</v>
      </c>
      <c r="C88" s="60"/>
      <c r="D88" s="67"/>
      <c r="E88" s="40"/>
      <c r="F88" s="50"/>
      <c r="G88" s="32"/>
      <c r="H88" s="50"/>
    </row>
    <row r="89" spans="1:8" x14ac:dyDescent="0.25">
      <c r="A89" s="16">
        <v>27</v>
      </c>
      <c r="B89" s="41" t="s">
        <v>85</v>
      </c>
      <c r="C89" s="56">
        <v>38.4</v>
      </c>
      <c r="D89" s="64">
        <v>120</v>
      </c>
      <c r="E89" s="42">
        <v>110</v>
      </c>
      <c r="F89" s="43">
        <f>1.73*115*380/1000</f>
        <v>75.600999999999999</v>
      </c>
      <c r="G89" s="28">
        <v>5.2149999999999999</v>
      </c>
      <c r="H89" s="43">
        <f t="shared" si="1"/>
        <v>70.385999999999996</v>
      </c>
    </row>
    <row r="90" spans="1:8" x14ac:dyDescent="0.25">
      <c r="A90" s="18">
        <v>28</v>
      </c>
      <c r="B90" s="47" t="s">
        <v>86</v>
      </c>
      <c r="C90" s="59">
        <v>1.6</v>
      </c>
      <c r="D90" s="66">
        <v>70</v>
      </c>
      <c r="E90" s="48">
        <v>35</v>
      </c>
      <c r="F90" s="49">
        <f>1.73*37*265/1000</f>
        <v>16.96265</v>
      </c>
      <c r="G90" s="55">
        <v>0</v>
      </c>
      <c r="H90" s="77" t="s">
        <v>106</v>
      </c>
    </row>
    <row r="91" spans="1:8" x14ac:dyDescent="0.25">
      <c r="A91" s="20"/>
      <c r="B91" s="40" t="s">
        <v>87</v>
      </c>
      <c r="C91" s="62"/>
      <c r="D91" s="67"/>
      <c r="E91" s="40"/>
      <c r="F91" s="50"/>
      <c r="G91" s="32"/>
      <c r="H91" s="50"/>
    </row>
    <row r="92" spans="1:8" x14ac:dyDescent="0.25">
      <c r="A92" s="20">
        <v>29</v>
      </c>
      <c r="B92" s="5" t="s">
        <v>88</v>
      </c>
      <c r="C92" s="60">
        <v>45.2</v>
      </c>
      <c r="D92" s="67">
        <v>70</v>
      </c>
      <c r="E92" s="51">
        <v>35</v>
      </c>
      <c r="F92" s="52">
        <f>1.73*37*265/1000</f>
        <v>16.96265</v>
      </c>
      <c r="G92" s="32">
        <v>0.129</v>
      </c>
      <c r="H92" s="52">
        <f t="shared" si="1"/>
        <v>16.833649999999999</v>
      </c>
    </row>
    <row r="93" spans="1:8" x14ac:dyDescent="0.25">
      <c r="A93" s="20"/>
      <c r="B93" s="40" t="s">
        <v>89</v>
      </c>
      <c r="C93" s="62"/>
      <c r="D93" s="67"/>
      <c r="E93" s="40"/>
      <c r="F93" s="50"/>
      <c r="G93" s="32"/>
      <c r="H93" s="50"/>
    </row>
    <row r="94" spans="1:8" x14ac:dyDescent="0.25">
      <c r="A94" s="20">
        <v>30</v>
      </c>
      <c r="B94" s="5" t="s">
        <v>90</v>
      </c>
      <c r="C94" s="60">
        <v>65</v>
      </c>
      <c r="D94" s="67" t="s">
        <v>108</v>
      </c>
      <c r="E94" s="51">
        <v>35</v>
      </c>
      <c r="F94" s="52">
        <f>1.73*37*265/1000</f>
        <v>16.96265</v>
      </c>
      <c r="G94" s="32">
        <v>0.59299999999999997</v>
      </c>
      <c r="H94" s="52">
        <f t="shared" si="1"/>
        <v>16.36965</v>
      </c>
    </row>
    <row r="95" spans="1:8" x14ac:dyDescent="0.25">
      <c r="A95" s="20"/>
      <c r="B95" s="40" t="s">
        <v>91</v>
      </c>
      <c r="C95" s="60"/>
      <c r="D95" s="67"/>
      <c r="E95" s="40"/>
      <c r="F95" s="50"/>
      <c r="G95" s="32"/>
      <c r="H95" s="50"/>
    </row>
    <row r="96" spans="1:8" x14ac:dyDescent="0.25">
      <c r="A96" s="16">
        <v>31</v>
      </c>
      <c r="B96" s="41" t="s">
        <v>92</v>
      </c>
      <c r="C96" s="56">
        <v>71.2</v>
      </c>
      <c r="D96" s="64">
        <v>70</v>
      </c>
      <c r="E96" s="42">
        <v>35</v>
      </c>
      <c r="F96" s="43">
        <f>1.73*37*265/1000</f>
        <v>16.96265</v>
      </c>
      <c r="G96" s="28">
        <v>5.0000000000000001E-3</v>
      </c>
      <c r="H96" s="43">
        <f t="shared" si="1"/>
        <v>16.957650000000001</v>
      </c>
    </row>
    <row r="97" spans="1:8" x14ac:dyDescent="0.25">
      <c r="A97" s="18">
        <v>32</v>
      </c>
      <c r="B97" s="47" t="s">
        <v>93</v>
      </c>
      <c r="C97" s="25">
        <v>38.6</v>
      </c>
      <c r="D97" s="68">
        <v>95</v>
      </c>
      <c r="E97" s="48">
        <v>35</v>
      </c>
      <c r="F97" s="49">
        <f>1.73*37*330/1000</f>
        <v>21.123300000000004</v>
      </c>
      <c r="G97" s="30">
        <v>5.5E-2</v>
      </c>
      <c r="H97" s="49">
        <f t="shared" si="1"/>
        <v>21.068300000000004</v>
      </c>
    </row>
    <row r="98" spans="1:8" x14ac:dyDescent="0.25">
      <c r="A98" s="20"/>
      <c r="B98" s="40" t="s">
        <v>94</v>
      </c>
      <c r="C98" s="26"/>
      <c r="D98" s="69"/>
      <c r="E98" s="40"/>
      <c r="F98" s="50"/>
      <c r="G98" s="32"/>
      <c r="H98" s="50"/>
    </row>
    <row r="99" spans="1:8" x14ac:dyDescent="0.25">
      <c r="A99" s="20">
        <v>33</v>
      </c>
      <c r="B99" s="5" t="s">
        <v>95</v>
      </c>
      <c r="C99" s="26">
        <v>17.7</v>
      </c>
      <c r="D99" s="69">
        <v>70</v>
      </c>
      <c r="E99" s="51">
        <v>35</v>
      </c>
      <c r="F99" s="52">
        <f>1.73*37*265/1000</f>
        <v>16.96265</v>
      </c>
      <c r="G99" s="32">
        <v>1.2999999999999999E-2</v>
      </c>
      <c r="H99" s="52">
        <f t="shared" si="1"/>
        <v>16.949649999999998</v>
      </c>
    </row>
    <row r="100" spans="1:8" x14ac:dyDescent="0.25">
      <c r="A100" s="20"/>
      <c r="B100" s="40" t="s">
        <v>96</v>
      </c>
      <c r="C100" s="26"/>
      <c r="D100" s="69"/>
      <c r="E100" s="40"/>
      <c r="F100" s="50"/>
      <c r="G100" s="32"/>
      <c r="H100" s="50"/>
    </row>
    <row r="101" spans="1:8" x14ac:dyDescent="0.25">
      <c r="A101" s="20">
        <v>34</v>
      </c>
      <c r="B101" s="5" t="s">
        <v>97</v>
      </c>
      <c r="C101" s="26">
        <v>19.5</v>
      </c>
      <c r="D101" s="69">
        <v>95</v>
      </c>
      <c r="E101" s="51">
        <v>35</v>
      </c>
      <c r="F101" s="52">
        <f>1.73*37*330/1000</f>
        <v>21.123300000000004</v>
      </c>
      <c r="G101" s="32">
        <v>0.52700000000000002</v>
      </c>
      <c r="H101" s="52">
        <f t="shared" si="1"/>
        <v>20.596300000000003</v>
      </c>
    </row>
    <row r="102" spans="1:8" x14ac:dyDescent="0.25">
      <c r="A102" s="20"/>
      <c r="B102" s="40" t="s">
        <v>98</v>
      </c>
      <c r="C102" s="26"/>
      <c r="D102" s="69"/>
      <c r="E102" s="40"/>
      <c r="F102" s="50"/>
      <c r="G102" s="32"/>
      <c r="H102" s="50"/>
    </row>
    <row r="103" spans="1:8" x14ac:dyDescent="0.25">
      <c r="A103" s="16">
        <v>35</v>
      </c>
      <c r="B103" s="41" t="s">
        <v>99</v>
      </c>
      <c r="C103" s="23">
        <v>28.96</v>
      </c>
      <c r="D103" s="70">
        <v>70</v>
      </c>
      <c r="E103" s="42">
        <v>35</v>
      </c>
      <c r="F103" s="43">
        <f>1.73*37*265/1000</f>
        <v>16.96265</v>
      </c>
      <c r="G103" s="28">
        <v>4.2999999999999997E-2</v>
      </c>
      <c r="H103" s="43">
        <f t="shared" si="1"/>
        <v>16.919650000000001</v>
      </c>
    </row>
    <row r="104" spans="1:8" x14ac:dyDescent="0.25">
      <c r="A104" s="17">
        <v>36</v>
      </c>
      <c r="B104" s="44" t="s">
        <v>100</v>
      </c>
      <c r="C104" s="24">
        <v>15</v>
      </c>
      <c r="D104" s="71">
        <v>70</v>
      </c>
      <c r="E104" s="45">
        <v>35</v>
      </c>
      <c r="F104" s="46">
        <f>1.73*37*265/1000</f>
        <v>16.96265</v>
      </c>
      <c r="G104" s="29">
        <v>0.214</v>
      </c>
      <c r="H104" s="46">
        <f t="shared" si="1"/>
        <v>16.748650000000001</v>
      </c>
    </row>
    <row r="105" spans="1:8" x14ac:dyDescent="0.25">
      <c r="A105" s="18">
        <v>37</v>
      </c>
      <c r="B105" s="47" t="s">
        <v>101</v>
      </c>
      <c r="C105" s="25">
        <v>35.26</v>
      </c>
      <c r="D105" s="68">
        <v>70</v>
      </c>
      <c r="E105" s="48">
        <v>35</v>
      </c>
      <c r="F105" s="49">
        <f>1.73*37*265/1000</f>
        <v>16.96265</v>
      </c>
      <c r="G105" s="30">
        <v>0.72899999999999998</v>
      </c>
      <c r="H105" s="49">
        <f t="shared" si="1"/>
        <v>16.233650000000001</v>
      </c>
    </row>
    <row r="106" spans="1:8" x14ac:dyDescent="0.25">
      <c r="A106" s="20"/>
      <c r="B106" s="40" t="s">
        <v>102</v>
      </c>
      <c r="C106" s="26"/>
      <c r="D106" s="69"/>
      <c r="E106" s="40"/>
      <c r="F106" s="50"/>
      <c r="G106" s="32"/>
      <c r="H106" s="50"/>
    </row>
    <row r="107" spans="1:8" x14ac:dyDescent="0.25">
      <c r="A107" s="16">
        <v>38</v>
      </c>
      <c r="B107" s="41" t="s">
        <v>103</v>
      </c>
      <c r="C107" s="23">
        <v>40.75</v>
      </c>
      <c r="D107" s="70">
        <v>70</v>
      </c>
      <c r="E107" s="42">
        <v>35</v>
      </c>
      <c r="F107" s="43">
        <f>1.73*37*265/1000</f>
        <v>16.96265</v>
      </c>
      <c r="G107" s="28">
        <v>0.19800000000000001</v>
      </c>
      <c r="H107" s="43">
        <f t="shared" si="1"/>
        <v>16.76465</v>
      </c>
    </row>
    <row r="108" spans="1:8" x14ac:dyDescent="0.25">
      <c r="A108" s="18">
        <v>39</v>
      </c>
      <c r="B108" s="47" t="s">
        <v>104</v>
      </c>
      <c r="C108" s="25">
        <v>38.14</v>
      </c>
      <c r="D108" s="68">
        <v>120</v>
      </c>
      <c r="E108" s="48">
        <v>35</v>
      </c>
      <c r="F108" s="49">
        <f>1.73*37*380/1000</f>
        <v>24.323800000000002</v>
      </c>
      <c r="G108" s="30">
        <v>0.14899999999999999</v>
      </c>
      <c r="H108" s="49">
        <f t="shared" si="1"/>
        <v>24.174800000000001</v>
      </c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8"/>
  <sheetViews>
    <sheetView topLeftCell="A28" workbookViewId="0">
      <selection activeCell="D53" sqref="D53"/>
    </sheetView>
  </sheetViews>
  <sheetFormatPr defaultRowHeight="15.75" x14ac:dyDescent="0.25"/>
  <cols>
    <col min="1" max="1" width="5.28515625" style="21" customWidth="1"/>
    <col min="2" max="2" width="20.5703125" style="1" bestFit="1" customWidth="1"/>
    <col min="3" max="3" width="11.5703125" style="1" customWidth="1"/>
    <col min="4" max="4" width="21" style="1" customWidth="1"/>
    <col min="5" max="5" width="14" style="21" customWidth="1"/>
    <col min="6" max="6" width="18.28515625" style="1" customWidth="1"/>
    <col min="7" max="7" width="11.7109375" style="33" customWidth="1"/>
    <col min="8" max="8" width="17.28515625" style="39" bestFit="1" customWidth="1"/>
    <col min="9" max="16384" width="9.140625" style="1"/>
  </cols>
  <sheetData>
    <row r="1" spans="1:8" x14ac:dyDescent="0.25">
      <c r="A1" s="115" t="s">
        <v>0</v>
      </c>
      <c r="B1" s="115"/>
      <c r="C1" s="115"/>
      <c r="D1" s="115"/>
      <c r="E1" s="115"/>
      <c r="F1" s="115"/>
      <c r="G1" s="115"/>
      <c r="H1" s="115"/>
    </row>
    <row r="2" spans="1:8" x14ac:dyDescent="0.25">
      <c r="A2" s="115" t="s">
        <v>1</v>
      </c>
      <c r="B2" s="115"/>
      <c r="C2" s="115"/>
      <c r="D2" s="115"/>
      <c r="E2" s="115"/>
      <c r="F2" s="115"/>
      <c r="G2" s="115"/>
      <c r="H2" s="115"/>
    </row>
    <row r="4" spans="1:8" x14ac:dyDescent="0.25">
      <c r="A4" s="115" t="s">
        <v>2</v>
      </c>
      <c r="B4" s="115"/>
      <c r="C4" s="115"/>
      <c r="D4" s="115"/>
      <c r="E4" s="115"/>
      <c r="F4" s="115"/>
      <c r="G4" s="115"/>
      <c r="H4" s="115"/>
    </row>
    <row r="6" spans="1:8" x14ac:dyDescent="0.25">
      <c r="A6" s="115" t="s">
        <v>3</v>
      </c>
      <c r="B6" s="115"/>
      <c r="C6" s="115"/>
      <c r="D6" s="115"/>
      <c r="E6" s="115"/>
      <c r="F6" s="115"/>
      <c r="G6" s="115"/>
      <c r="H6" s="115"/>
    </row>
    <row r="8" spans="1:8" s="2" customFormat="1" ht="47.25" x14ac:dyDescent="0.25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76" t="s">
        <v>9</v>
      </c>
      <c r="G8" s="27" t="s">
        <v>128</v>
      </c>
      <c r="H8" s="27" t="s">
        <v>10</v>
      </c>
    </row>
    <row r="9" spans="1:8" x14ac:dyDescent="0.25">
      <c r="A9" s="16">
        <v>1</v>
      </c>
      <c r="B9" s="9" t="s">
        <v>11</v>
      </c>
      <c r="C9" s="14" t="s">
        <v>12</v>
      </c>
      <c r="D9" s="14" t="s">
        <v>110</v>
      </c>
      <c r="E9" s="16" t="s">
        <v>40</v>
      </c>
      <c r="F9" s="14">
        <v>25000</v>
      </c>
      <c r="G9" s="28">
        <v>0</v>
      </c>
      <c r="H9" s="34" t="s">
        <v>106</v>
      </c>
    </row>
    <row r="10" spans="1:8" x14ac:dyDescent="0.25">
      <c r="A10" s="17"/>
      <c r="B10" s="10"/>
      <c r="C10" s="11" t="s">
        <v>13</v>
      </c>
      <c r="D10" s="11" t="s">
        <v>110</v>
      </c>
      <c r="E10" s="17" t="s">
        <v>40</v>
      </c>
      <c r="F10" s="11">
        <v>25000</v>
      </c>
      <c r="G10" s="29">
        <v>0</v>
      </c>
      <c r="H10" s="35" t="s">
        <v>106</v>
      </c>
    </row>
    <row r="11" spans="1:8" x14ac:dyDescent="0.25">
      <c r="A11" s="18"/>
      <c r="B11" s="12"/>
      <c r="C11" s="13" t="s">
        <v>14</v>
      </c>
      <c r="D11" s="13" t="s">
        <v>110</v>
      </c>
      <c r="E11" s="18" t="s">
        <v>41</v>
      </c>
      <c r="F11" s="13">
        <v>2500</v>
      </c>
      <c r="G11" s="55">
        <v>0.03</v>
      </c>
      <c r="H11" s="36">
        <f>F11/1000-G11</f>
        <v>2.4700000000000002</v>
      </c>
    </row>
    <row r="12" spans="1:8" x14ac:dyDescent="0.25">
      <c r="A12" s="16">
        <v>2</v>
      </c>
      <c r="B12" s="9" t="s">
        <v>15</v>
      </c>
      <c r="C12" s="14" t="s">
        <v>12</v>
      </c>
      <c r="D12" s="14" t="s">
        <v>111</v>
      </c>
      <c r="E12" s="16" t="s">
        <v>43</v>
      </c>
      <c r="F12" s="14">
        <v>16000</v>
      </c>
      <c r="G12" s="28">
        <v>3.121</v>
      </c>
      <c r="H12" s="34">
        <f t="shared" ref="H12:H49" si="0">F12/1000-G12</f>
        <v>12.879</v>
      </c>
    </row>
    <row r="13" spans="1:8" x14ac:dyDescent="0.25">
      <c r="A13" s="18"/>
      <c r="B13" s="12"/>
      <c r="C13" s="13" t="s">
        <v>13</v>
      </c>
      <c r="D13" s="13" t="s">
        <v>111</v>
      </c>
      <c r="E13" s="18" t="s">
        <v>43</v>
      </c>
      <c r="F13" s="13">
        <v>16000</v>
      </c>
      <c r="G13" s="30">
        <v>1.0109999999999999</v>
      </c>
      <c r="H13" s="36">
        <f t="shared" si="0"/>
        <v>14.989000000000001</v>
      </c>
    </row>
    <row r="14" spans="1:8" x14ac:dyDescent="0.25">
      <c r="A14" s="19">
        <v>3</v>
      </c>
      <c r="B14" s="7" t="s">
        <v>16</v>
      </c>
      <c r="C14" s="72" t="s">
        <v>12</v>
      </c>
      <c r="D14" s="15" t="s">
        <v>110</v>
      </c>
      <c r="E14" s="19" t="s">
        <v>43</v>
      </c>
      <c r="F14" s="15">
        <v>10000</v>
      </c>
      <c r="G14" s="78">
        <v>0.04</v>
      </c>
      <c r="H14" s="37">
        <f t="shared" si="0"/>
        <v>9.9600000000000009</v>
      </c>
    </row>
    <row r="15" spans="1:8" x14ac:dyDescent="0.25">
      <c r="A15" s="20">
        <v>4</v>
      </c>
      <c r="B15" s="4" t="s">
        <v>17</v>
      </c>
      <c r="C15" s="15" t="s">
        <v>12</v>
      </c>
      <c r="D15" s="8" t="s">
        <v>110</v>
      </c>
      <c r="E15" s="20" t="s">
        <v>43</v>
      </c>
      <c r="F15" s="8">
        <v>10000</v>
      </c>
      <c r="G15" s="73">
        <v>0.02</v>
      </c>
      <c r="H15" s="38">
        <f t="shared" si="0"/>
        <v>9.98</v>
      </c>
    </row>
    <row r="16" spans="1:8" x14ac:dyDescent="0.25">
      <c r="A16" s="16">
        <v>5</v>
      </c>
      <c r="B16" s="9" t="s">
        <v>18</v>
      </c>
      <c r="C16" s="14" t="s">
        <v>12</v>
      </c>
      <c r="D16" s="14" t="s">
        <v>125</v>
      </c>
      <c r="E16" s="16" t="s">
        <v>43</v>
      </c>
      <c r="F16" s="14">
        <v>40000</v>
      </c>
      <c r="G16" s="28">
        <v>0.83799999999999997</v>
      </c>
      <c r="H16" s="34">
        <f t="shared" si="0"/>
        <v>39.161999999999999</v>
      </c>
    </row>
    <row r="17" spans="1:8" x14ac:dyDescent="0.25">
      <c r="A17" s="18"/>
      <c r="B17" s="12"/>
      <c r="C17" s="13" t="s">
        <v>13</v>
      </c>
      <c r="D17" s="13" t="s">
        <v>125</v>
      </c>
      <c r="E17" s="18" t="s">
        <v>45</v>
      </c>
      <c r="F17" s="13">
        <v>5600</v>
      </c>
      <c r="G17" s="30">
        <v>0.32400000000000001</v>
      </c>
      <c r="H17" s="36">
        <f t="shared" si="0"/>
        <v>5.2759999999999998</v>
      </c>
    </row>
    <row r="18" spans="1:8" x14ac:dyDescent="0.25">
      <c r="A18" s="16">
        <v>6</v>
      </c>
      <c r="B18" s="9" t="s">
        <v>19</v>
      </c>
      <c r="C18" s="14" t="s">
        <v>12</v>
      </c>
      <c r="D18" s="14" t="s">
        <v>112</v>
      </c>
      <c r="E18" s="16" t="s">
        <v>42</v>
      </c>
      <c r="F18" s="14">
        <v>20000</v>
      </c>
      <c r="G18" s="28">
        <v>0</v>
      </c>
      <c r="H18" s="34" t="s">
        <v>106</v>
      </c>
    </row>
    <row r="19" spans="1:8" x14ac:dyDescent="0.25">
      <c r="A19" s="17"/>
      <c r="B19" s="10"/>
      <c r="C19" s="11" t="s">
        <v>13</v>
      </c>
      <c r="D19" s="11"/>
      <c r="E19" s="17" t="s">
        <v>42</v>
      </c>
      <c r="F19" s="11">
        <v>20000</v>
      </c>
      <c r="G19" s="29">
        <v>0.55700000000000005</v>
      </c>
      <c r="H19" s="35">
        <f t="shared" si="0"/>
        <v>19.443000000000001</v>
      </c>
    </row>
    <row r="20" spans="1:8" x14ac:dyDescent="0.25">
      <c r="A20" s="18"/>
      <c r="B20" s="12"/>
      <c r="C20" s="13" t="s">
        <v>14</v>
      </c>
      <c r="D20" s="13"/>
      <c r="E20" s="18" t="s">
        <v>43</v>
      </c>
      <c r="F20" s="13">
        <v>10000</v>
      </c>
      <c r="G20" s="30">
        <v>0.47799999999999998</v>
      </c>
      <c r="H20" s="36">
        <f t="shared" si="0"/>
        <v>9.5220000000000002</v>
      </c>
    </row>
    <row r="21" spans="1:8" x14ac:dyDescent="0.25">
      <c r="A21" s="16">
        <v>7</v>
      </c>
      <c r="B21" s="9" t="s">
        <v>20</v>
      </c>
      <c r="C21" s="14" t="s">
        <v>12</v>
      </c>
      <c r="D21" s="14" t="s">
        <v>111</v>
      </c>
      <c r="E21" s="16" t="s">
        <v>42</v>
      </c>
      <c r="F21" s="14">
        <v>16000</v>
      </c>
      <c r="G21" s="28">
        <v>6.0000000000000001E-3</v>
      </c>
      <c r="H21" s="28">
        <f t="shared" si="0"/>
        <v>15.994</v>
      </c>
    </row>
    <row r="22" spans="1:8" x14ac:dyDescent="0.25">
      <c r="A22" s="18"/>
      <c r="B22" s="12"/>
      <c r="C22" s="13" t="s">
        <v>13</v>
      </c>
      <c r="D22" s="13"/>
      <c r="E22" s="18" t="s">
        <v>42</v>
      </c>
      <c r="F22" s="13">
        <v>16000</v>
      </c>
      <c r="G22" s="30">
        <v>0.13</v>
      </c>
      <c r="H22" s="30">
        <f t="shared" si="0"/>
        <v>15.87</v>
      </c>
    </row>
    <row r="23" spans="1:8" x14ac:dyDescent="0.25">
      <c r="A23" s="20">
        <v>8</v>
      </c>
      <c r="B23" s="4" t="s">
        <v>21</v>
      </c>
      <c r="C23" s="15" t="s">
        <v>12</v>
      </c>
      <c r="D23" s="6" t="s">
        <v>113</v>
      </c>
      <c r="E23" s="20" t="s">
        <v>42</v>
      </c>
      <c r="F23" s="6">
        <v>2500</v>
      </c>
      <c r="G23" s="32">
        <v>5.3999999999999999E-2</v>
      </c>
      <c r="H23" s="38">
        <f t="shared" si="0"/>
        <v>2.4460000000000002</v>
      </c>
    </row>
    <row r="24" spans="1:8" x14ac:dyDescent="0.25">
      <c r="A24" s="16">
        <v>9</v>
      </c>
      <c r="B24" s="9" t="s">
        <v>22</v>
      </c>
      <c r="C24" s="14" t="s">
        <v>12</v>
      </c>
      <c r="D24" s="14" t="s">
        <v>114</v>
      </c>
      <c r="E24" s="16" t="s">
        <v>43</v>
      </c>
      <c r="F24" s="14">
        <v>6300</v>
      </c>
      <c r="G24" s="28">
        <v>0</v>
      </c>
      <c r="H24" s="34" t="s">
        <v>106</v>
      </c>
    </row>
    <row r="25" spans="1:8" x14ac:dyDescent="0.25">
      <c r="A25" s="18"/>
      <c r="B25" s="12"/>
      <c r="C25" s="13" t="s">
        <v>13</v>
      </c>
      <c r="D25" s="13"/>
      <c r="E25" s="18" t="s">
        <v>43</v>
      </c>
      <c r="F25" s="13">
        <v>6300</v>
      </c>
      <c r="G25" s="30">
        <v>1.0409999999999999</v>
      </c>
      <c r="H25" s="36">
        <f t="shared" si="0"/>
        <v>5.2590000000000003</v>
      </c>
    </row>
    <row r="26" spans="1:8" x14ac:dyDescent="0.25">
      <c r="A26" s="16">
        <v>10</v>
      </c>
      <c r="B26" s="9" t="s">
        <v>23</v>
      </c>
      <c r="C26" s="14" t="s">
        <v>12</v>
      </c>
      <c r="D26" s="14" t="s">
        <v>111</v>
      </c>
      <c r="E26" s="16" t="s">
        <v>42</v>
      </c>
      <c r="F26" s="14">
        <v>16000</v>
      </c>
      <c r="G26" s="79">
        <v>0.98</v>
      </c>
      <c r="H26" s="79">
        <f t="shared" si="0"/>
        <v>15.02</v>
      </c>
    </row>
    <row r="27" spans="1:8" x14ac:dyDescent="0.25">
      <c r="A27" s="18"/>
      <c r="B27" s="12"/>
      <c r="C27" s="13" t="s">
        <v>13</v>
      </c>
      <c r="D27" s="13"/>
      <c r="E27" s="18" t="s">
        <v>42</v>
      </c>
      <c r="F27" s="13">
        <v>16000</v>
      </c>
      <c r="G27" s="55">
        <v>0.105</v>
      </c>
      <c r="H27" s="55">
        <f t="shared" si="0"/>
        <v>15.895</v>
      </c>
    </row>
    <row r="28" spans="1:8" ht="31.5" x14ac:dyDescent="0.25">
      <c r="A28" s="20">
        <v>11</v>
      </c>
      <c r="B28" s="4" t="s">
        <v>24</v>
      </c>
      <c r="C28" s="15" t="s">
        <v>12</v>
      </c>
      <c r="D28" s="74" t="s">
        <v>115</v>
      </c>
      <c r="E28" s="20" t="s">
        <v>42</v>
      </c>
      <c r="F28" s="15">
        <v>2500</v>
      </c>
      <c r="G28" s="32">
        <v>1.9E-2</v>
      </c>
      <c r="H28" s="38">
        <f t="shared" si="0"/>
        <v>2.4809999999999999</v>
      </c>
    </row>
    <row r="29" spans="1:8" x14ac:dyDescent="0.25">
      <c r="A29" s="20">
        <v>12</v>
      </c>
      <c r="B29" s="4" t="s">
        <v>25</v>
      </c>
      <c r="C29" s="15" t="s">
        <v>12</v>
      </c>
      <c r="D29" s="8" t="s">
        <v>116</v>
      </c>
      <c r="E29" s="20" t="s">
        <v>42</v>
      </c>
      <c r="F29" s="8">
        <v>2500</v>
      </c>
      <c r="G29" s="32">
        <v>5.5E-2</v>
      </c>
      <c r="H29" s="38">
        <f t="shared" si="0"/>
        <v>2.4449999999999998</v>
      </c>
    </row>
    <row r="30" spans="1:8" x14ac:dyDescent="0.25">
      <c r="A30" s="16">
        <v>13</v>
      </c>
      <c r="B30" s="9" t="s">
        <v>26</v>
      </c>
      <c r="C30" s="14" t="s">
        <v>12</v>
      </c>
      <c r="D30" s="14" t="s">
        <v>117</v>
      </c>
      <c r="E30" s="16" t="s">
        <v>43</v>
      </c>
      <c r="F30" s="14">
        <v>40000</v>
      </c>
      <c r="G30" s="28">
        <v>8.2739999999999991</v>
      </c>
      <c r="H30" s="34">
        <f t="shared" si="0"/>
        <v>31.725999999999999</v>
      </c>
    </row>
    <row r="31" spans="1:8" x14ac:dyDescent="0.25">
      <c r="A31" s="18"/>
      <c r="B31" s="12"/>
      <c r="C31" s="13" t="s">
        <v>13</v>
      </c>
      <c r="D31" s="13"/>
      <c r="E31" s="18" t="s">
        <v>43</v>
      </c>
      <c r="F31" s="13">
        <v>20000</v>
      </c>
      <c r="G31" s="30">
        <v>0</v>
      </c>
      <c r="H31" s="36" t="s">
        <v>106</v>
      </c>
    </row>
    <row r="32" spans="1:8" ht="31.5" x14ac:dyDescent="0.25">
      <c r="A32" s="16">
        <v>14</v>
      </c>
      <c r="B32" s="9" t="s">
        <v>27</v>
      </c>
      <c r="C32" s="14" t="s">
        <v>12</v>
      </c>
      <c r="D32" s="75" t="s">
        <v>118</v>
      </c>
      <c r="E32" s="16" t="s">
        <v>42</v>
      </c>
      <c r="F32" s="14">
        <v>10000</v>
      </c>
      <c r="G32" s="28">
        <v>0.754</v>
      </c>
      <c r="H32" s="28">
        <f t="shared" si="0"/>
        <v>9.2460000000000004</v>
      </c>
    </row>
    <row r="33" spans="1:8" x14ac:dyDescent="0.25">
      <c r="A33" s="18"/>
      <c r="B33" s="12"/>
      <c r="C33" s="13" t="s">
        <v>13</v>
      </c>
      <c r="D33" s="13"/>
      <c r="E33" s="18" t="s">
        <v>42</v>
      </c>
      <c r="F33" s="13">
        <v>10000</v>
      </c>
      <c r="G33" s="30">
        <v>0</v>
      </c>
      <c r="H33" s="36" t="s">
        <v>106</v>
      </c>
    </row>
    <row r="34" spans="1:8" x14ac:dyDescent="0.25">
      <c r="A34" s="20">
        <v>15</v>
      </c>
      <c r="B34" s="4" t="s">
        <v>28</v>
      </c>
      <c r="C34" s="15" t="s">
        <v>12</v>
      </c>
      <c r="D34" s="6" t="s">
        <v>119</v>
      </c>
      <c r="E34" s="20" t="s">
        <v>44</v>
      </c>
      <c r="F34" s="6">
        <v>6300</v>
      </c>
      <c r="G34" s="32">
        <v>7.2999999999999995E-2</v>
      </c>
      <c r="H34" s="38">
        <f t="shared" si="0"/>
        <v>6.2269999999999994</v>
      </c>
    </row>
    <row r="35" spans="1:8" ht="47.25" x14ac:dyDescent="0.25">
      <c r="A35" s="16">
        <v>16</v>
      </c>
      <c r="B35" s="9" t="s">
        <v>29</v>
      </c>
      <c r="C35" s="14" t="s">
        <v>12</v>
      </c>
      <c r="D35" s="75" t="s">
        <v>127</v>
      </c>
      <c r="E35" s="16" t="s">
        <v>42</v>
      </c>
      <c r="F35" s="14">
        <v>6300</v>
      </c>
      <c r="G35" s="28">
        <v>0</v>
      </c>
      <c r="H35" s="34" t="s">
        <v>106</v>
      </c>
    </row>
    <row r="36" spans="1:8" x14ac:dyDescent="0.25">
      <c r="A36" s="18"/>
      <c r="B36" s="12"/>
      <c r="C36" s="13" t="s">
        <v>13</v>
      </c>
      <c r="D36" s="13"/>
      <c r="E36" s="22" t="s">
        <v>47</v>
      </c>
      <c r="F36" s="13">
        <v>10000</v>
      </c>
      <c r="G36" s="30">
        <v>0</v>
      </c>
      <c r="H36" s="36" t="s">
        <v>106</v>
      </c>
    </row>
    <row r="37" spans="1:8" x14ac:dyDescent="0.25">
      <c r="A37" s="16">
        <v>17</v>
      </c>
      <c r="B37" s="9" t="s">
        <v>30</v>
      </c>
      <c r="C37" s="14" t="s">
        <v>12</v>
      </c>
      <c r="D37" s="14" t="s">
        <v>126</v>
      </c>
      <c r="E37" s="16" t="s">
        <v>45</v>
      </c>
      <c r="F37" s="14">
        <v>5600</v>
      </c>
      <c r="G37" s="28">
        <v>9.4E-2</v>
      </c>
      <c r="H37" s="34">
        <f t="shared" si="0"/>
        <v>5.5059999999999993</v>
      </c>
    </row>
    <row r="38" spans="1:8" x14ac:dyDescent="0.25">
      <c r="A38" s="18"/>
      <c r="B38" s="12"/>
      <c r="C38" s="13" t="s">
        <v>13</v>
      </c>
      <c r="D38" s="13"/>
      <c r="E38" s="18" t="s">
        <v>45</v>
      </c>
      <c r="F38" s="13">
        <v>5600</v>
      </c>
      <c r="G38" s="30">
        <v>0</v>
      </c>
      <c r="H38" s="36" t="s">
        <v>106</v>
      </c>
    </row>
    <row r="39" spans="1:8" x14ac:dyDescent="0.25">
      <c r="A39" s="20">
        <v>18</v>
      </c>
      <c r="B39" s="4" t="s">
        <v>31</v>
      </c>
      <c r="C39" s="15" t="s">
        <v>12</v>
      </c>
      <c r="D39" s="6" t="s">
        <v>126</v>
      </c>
      <c r="E39" s="20" t="s">
        <v>45</v>
      </c>
      <c r="F39" s="6">
        <v>560</v>
      </c>
      <c r="G39" s="73">
        <v>8.0000000000000002E-3</v>
      </c>
      <c r="H39" s="38">
        <f t="shared" si="0"/>
        <v>0.55200000000000005</v>
      </c>
    </row>
    <row r="40" spans="1:8" x14ac:dyDescent="0.25">
      <c r="A40" s="16">
        <v>19</v>
      </c>
      <c r="B40" s="9" t="s">
        <v>32</v>
      </c>
      <c r="C40" s="14" t="s">
        <v>12</v>
      </c>
      <c r="D40" s="14" t="s">
        <v>125</v>
      </c>
      <c r="E40" s="16" t="s">
        <v>45</v>
      </c>
      <c r="F40" s="14">
        <v>2500</v>
      </c>
      <c r="G40" s="28">
        <v>0</v>
      </c>
      <c r="H40" s="34" t="s">
        <v>106</v>
      </c>
    </row>
    <row r="41" spans="1:8" x14ac:dyDescent="0.25">
      <c r="A41" s="18"/>
      <c r="B41" s="12"/>
      <c r="C41" s="13" t="s">
        <v>13</v>
      </c>
      <c r="D41" s="13" t="s">
        <v>125</v>
      </c>
      <c r="E41" s="18" t="s">
        <v>45</v>
      </c>
      <c r="F41" s="13">
        <v>2500</v>
      </c>
      <c r="G41" s="30">
        <v>2E-3</v>
      </c>
      <c r="H41" s="36">
        <f t="shared" si="0"/>
        <v>2.4980000000000002</v>
      </c>
    </row>
    <row r="42" spans="1:8" x14ac:dyDescent="0.25">
      <c r="A42" s="20">
        <v>20</v>
      </c>
      <c r="B42" s="4" t="s">
        <v>33</v>
      </c>
      <c r="C42" s="15" t="s">
        <v>12</v>
      </c>
      <c r="D42" s="15" t="s">
        <v>110</v>
      </c>
      <c r="E42" s="20" t="s">
        <v>45</v>
      </c>
      <c r="F42" s="15">
        <v>1600</v>
      </c>
      <c r="G42" s="73">
        <v>1.7999999999999999E-2</v>
      </c>
      <c r="H42" s="38">
        <f t="shared" si="0"/>
        <v>1.5820000000000001</v>
      </c>
    </row>
    <row r="43" spans="1:8" x14ac:dyDescent="0.25">
      <c r="A43" s="20">
        <v>21</v>
      </c>
      <c r="B43" s="4" t="s">
        <v>34</v>
      </c>
      <c r="C43" s="15" t="s">
        <v>12</v>
      </c>
      <c r="D43" s="15" t="s">
        <v>120</v>
      </c>
      <c r="E43" s="20" t="s">
        <v>45</v>
      </c>
      <c r="F43" s="15">
        <v>6300</v>
      </c>
      <c r="G43" s="32">
        <v>0.379</v>
      </c>
      <c r="H43" s="38">
        <f t="shared" si="0"/>
        <v>5.9209999999999994</v>
      </c>
    </row>
    <row r="44" spans="1:8" ht="31.5" x14ac:dyDescent="0.25">
      <c r="A44" s="16">
        <v>22</v>
      </c>
      <c r="B44" s="9" t="s">
        <v>35</v>
      </c>
      <c r="C44" s="14" t="s">
        <v>12</v>
      </c>
      <c r="D44" s="75" t="s">
        <v>121</v>
      </c>
      <c r="E44" s="16" t="s">
        <v>45</v>
      </c>
      <c r="F44" s="14">
        <v>4000</v>
      </c>
      <c r="G44" s="28">
        <v>6.9000000000000006E-2</v>
      </c>
      <c r="H44" s="34">
        <f t="shared" si="0"/>
        <v>3.931</v>
      </c>
    </row>
    <row r="45" spans="1:8" x14ac:dyDescent="0.25">
      <c r="A45" s="18"/>
      <c r="B45" s="12"/>
      <c r="C45" s="13" t="s">
        <v>13</v>
      </c>
      <c r="D45" s="13"/>
      <c r="E45" s="18" t="s">
        <v>45</v>
      </c>
      <c r="F45" s="13">
        <v>4000</v>
      </c>
      <c r="G45" s="30">
        <v>0</v>
      </c>
      <c r="H45" s="36" t="s">
        <v>106</v>
      </c>
    </row>
    <row r="46" spans="1:8" x14ac:dyDescent="0.25">
      <c r="A46" s="16">
        <v>23</v>
      </c>
      <c r="B46" s="9" t="s">
        <v>36</v>
      </c>
      <c r="C46" s="14" t="s">
        <v>12</v>
      </c>
      <c r="D46" s="14" t="s">
        <v>122</v>
      </c>
      <c r="E46" s="16" t="s">
        <v>45</v>
      </c>
      <c r="F46" s="14">
        <v>4000</v>
      </c>
      <c r="G46" s="28">
        <v>1.2E-2</v>
      </c>
      <c r="H46" s="28">
        <f t="shared" si="0"/>
        <v>3.988</v>
      </c>
    </row>
    <row r="47" spans="1:8" x14ac:dyDescent="0.25">
      <c r="A47" s="18"/>
      <c r="B47" s="12"/>
      <c r="C47" s="13" t="s">
        <v>13</v>
      </c>
      <c r="D47" s="13"/>
      <c r="E47" s="18" t="s">
        <v>45</v>
      </c>
      <c r="F47" s="13">
        <v>4000</v>
      </c>
      <c r="G47" s="30">
        <v>5.3999999999999999E-2</v>
      </c>
      <c r="H47" s="30">
        <f t="shared" si="0"/>
        <v>3.9460000000000002</v>
      </c>
    </row>
    <row r="48" spans="1:8" x14ac:dyDescent="0.25">
      <c r="A48" s="20">
        <v>24</v>
      </c>
      <c r="B48" s="4" t="s">
        <v>37</v>
      </c>
      <c r="C48" s="15" t="s">
        <v>12</v>
      </c>
      <c r="D48" s="15" t="s">
        <v>123</v>
      </c>
      <c r="E48" s="20" t="s">
        <v>46</v>
      </c>
      <c r="F48" s="15"/>
      <c r="G48" s="32">
        <v>0</v>
      </c>
      <c r="H48" s="38" t="s">
        <v>107</v>
      </c>
    </row>
    <row r="49" spans="1:8" x14ac:dyDescent="0.25">
      <c r="A49" s="20">
        <v>25</v>
      </c>
      <c r="B49" s="4" t="s">
        <v>38</v>
      </c>
      <c r="C49" s="15" t="s">
        <v>12</v>
      </c>
      <c r="D49" s="15" t="s">
        <v>124</v>
      </c>
      <c r="E49" s="20" t="s">
        <v>45</v>
      </c>
      <c r="F49" s="15">
        <v>1000</v>
      </c>
      <c r="G49" s="32">
        <v>8.5000000000000006E-2</v>
      </c>
      <c r="H49" s="38">
        <f t="shared" si="0"/>
        <v>0.91500000000000004</v>
      </c>
    </row>
    <row r="50" spans="1:8" x14ac:dyDescent="0.25">
      <c r="A50" s="20">
        <v>26</v>
      </c>
      <c r="B50" s="4" t="s">
        <v>39</v>
      </c>
      <c r="C50" s="15" t="s">
        <v>12</v>
      </c>
      <c r="D50" s="15" t="s">
        <v>125</v>
      </c>
      <c r="E50" s="20" t="s">
        <v>41</v>
      </c>
      <c r="F50" s="15">
        <v>2500</v>
      </c>
      <c r="G50" s="32">
        <v>0</v>
      </c>
      <c r="H50" s="38" t="s">
        <v>106</v>
      </c>
    </row>
    <row r="52" spans="1:8" x14ac:dyDescent="0.25">
      <c r="A52" s="115" t="s">
        <v>48</v>
      </c>
      <c r="B52" s="115"/>
      <c r="C52" s="115"/>
      <c r="D52" s="115"/>
      <c r="E52" s="115"/>
      <c r="F52" s="115"/>
      <c r="G52" s="115"/>
      <c r="H52" s="115"/>
    </row>
    <row r="54" spans="1:8" ht="63" x14ac:dyDescent="0.25">
      <c r="A54" s="3" t="s">
        <v>4</v>
      </c>
      <c r="B54" s="3" t="s">
        <v>49</v>
      </c>
      <c r="C54" s="3" t="s">
        <v>50</v>
      </c>
      <c r="D54" s="3" t="s">
        <v>51</v>
      </c>
      <c r="E54" s="3" t="s">
        <v>8</v>
      </c>
      <c r="F54" s="3" t="s">
        <v>52</v>
      </c>
      <c r="G54" s="27" t="s">
        <v>129</v>
      </c>
      <c r="H54" s="27" t="s">
        <v>10</v>
      </c>
    </row>
    <row r="55" spans="1:8" x14ac:dyDescent="0.25">
      <c r="A55" s="20"/>
      <c r="B55" s="40" t="s">
        <v>53</v>
      </c>
      <c r="C55" s="4"/>
      <c r="D55" s="15"/>
      <c r="E55" s="40"/>
      <c r="F55" s="15"/>
      <c r="G55" s="32"/>
      <c r="H55" s="38"/>
    </row>
    <row r="56" spans="1:8" x14ac:dyDescent="0.25">
      <c r="A56" s="16">
        <v>1</v>
      </c>
      <c r="B56" s="41" t="s">
        <v>54</v>
      </c>
      <c r="C56" s="56">
        <v>3.3</v>
      </c>
      <c r="D56" s="64">
        <v>120</v>
      </c>
      <c r="E56" s="42">
        <v>110</v>
      </c>
      <c r="F56" s="43">
        <f>1.73*115*330/1000</f>
        <v>65.653499999999994</v>
      </c>
      <c r="G56" s="28">
        <v>8.6950000000000003</v>
      </c>
      <c r="H56" s="43">
        <f>F56-G56</f>
        <v>56.958499999999994</v>
      </c>
    </row>
    <row r="57" spans="1:8" x14ac:dyDescent="0.25">
      <c r="A57" s="17">
        <v>2</v>
      </c>
      <c r="B57" s="44" t="s">
        <v>55</v>
      </c>
      <c r="C57" s="57">
        <v>217.4</v>
      </c>
      <c r="D57" s="65">
        <v>150</v>
      </c>
      <c r="E57" s="45">
        <v>110</v>
      </c>
      <c r="F57" s="46">
        <f>1.73*115*445/1000</f>
        <v>88.532749999999993</v>
      </c>
      <c r="G57" s="29">
        <v>3</v>
      </c>
      <c r="H57" s="46">
        <f t="shared" ref="H57:H108" si="1">F57-G57</f>
        <v>85.532749999999993</v>
      </c>
    </row>
    <row r="58" spans="1:8" x14ac:dyDescent="0.25">
      <c r="A58" s="17">
        <v>3</v>
      </c>
      <c r="B58" s="44" t="s">
        <v>56</v>
      </c>
      <c r="C58" s="57">
        <v>217.4</v>
      </c>
      <c r="D58" s="65">
        <v>150</v>
      </c>
      <c r="E58" s="45">
        <v>110</v>
      </c>
      <c r="F58" s="46">
        <f>1.73*115*445/1000</f>
        <v>88.532749999999993</v>
      </c>
      <c r="G58" s="29">
        <v>0.55400000000000005</v>
      </c>
      <c r="H58" s="46">
        <f t="shared" si="1"/>
        <v>87.978749999999991</v>
      </c>
    </row>
    <row r="59" spans="1:8" x14ac:dyDescent="0.25">
      <c r="A59" s="17">
        <v>4</v>
      </c>
      <c r="B59" s="44" t="s">
        <v>57</v>
      </c>
      <c r="C59" s="58">
        <v>17.3</v>
      </c>
      <c r="D59" s="65" t="s">
        <v>109</v>
      </c>
      <c r="E59" s="45">
        <v>110</v>
      </c>
      <c r="F59" s="46">
        <f>1.73*115*445/1000</f>
        <v>88.532749999999993</v>
      </c>
      <c r="G59" s="29">
        <v>5.0979999999999999</v>
      </c>
      <c r="H59" s="46">
        <f t="shared" si="1"/>
        <v>83.434749999999994</v>
      </c>
    </row>
    <row r="60" spans="1:8" x14ac:dyDescent="0.25">
      <c r="A60" s="17">
        <v>5</v>
      </c>
      <c r="B60" s="44" t="s">
        <v>58</v>
      </c>
      <c r="C60" s="57">
        <v>17.3</v>
      </c>
      <c r="D60" s="65" t="s">
        <v>109</v>
      </c>
      <c r="E60" s="45">
        <v>110</v>
      </c>
      <c r="F60" s="46">
        <f>1.73*115*445/1000</f>
        <v>88.532749999999993</v>
      </c>
      <c r="G60" s="29">
        <v>2.3580000000000001</v>
      </c>
      <c r="H60" s="46">
        <f t="shared" si="1"/>
        <v>86.174749999999989</v>
      </c>
    </row>
    <row r="61" spans="1:8" x14ac:dyDescent="0.25">
      <c r="A61" s="17">
        <v>6</v>
      </c>
      <c r="B61" s="44" t="s">
        <v>59</v>
      </c>
      <c r="C61" s="57">
        <v>47.1</v>
      </c>
      <c r="D61" s="65">
        <v>120</v>
      </c>
      <c r="E61" s="45">
        <v>110</v>
      </c>
      <c r="F61" s="46">
        <f>1.73*115*445/1000</f>
        <v>88.532749999999993</v>
      </c>
      <c r="G61" s="29">
        <v>1.125</v>
      </c>
      <c r="H61" s="46">
        <f t="shared" si="1"/>
        <v>87.407749999999993</v>
      </c>
    </row>
    <row r="62" spans="1:8" x14ac:dyDescent="0.25">
      <c r="A62" s="17">
        <v>7</v>
      </c>
      <c r="B62" s="44" t="s">
        <v>60</v>
      </c>
      <c r="C62" s="57">
        <v>36.9</v>
      </c>
      <c r="D62" s="65">
        <v>120</v>
      </c>
      <c r="E62" s="45">
        <v>110</v>
      </c>
      <c r="F62" s="46">
        <f>1.73*115*380/1000</f>
        <v>75.600999999999999</v>
      </c>
      <c r="G62" s="29">
        <v>3.5190000000000001</v>
      </c>
      <c r="H62" s="46">
        <f t="shared" si="1"/>
        <v>72.081999999999994</v>
      </c>
    </row>
    <row r="63" spans="1:8" x14ac:dyDescent="0.25">
      <c r="A63" s="17">
        <v>8</v>
      </c>
      <c r="B63" s="44" t="s">
        <v>61</v>
      </c>
      <c r="C63" s="58">
        <v>39.32</v>
      </c>
      <c r="D63" s="65">
        <v>185</v>
      </c>
      <c r="E63" s="45">
        <v>110</v>
      </c>
      <c r="F63" s="46">
        <f>1.73*115*510/1000</f>
        <v>101.4645</v>
      </c>
      <c r="G63" s="29">
        <v>6.8140000000000001</v>
      </c>
      <c r="H63" s="46">
        <f t="shared" si="1"/>
        <v>94.650499999999994</v>
      </c>
    </row>
    <row r="64" spans="1:8" x14ac:dyDescent="0.25">
      <c r="A64" s="17">
        <v>9</v>
      </c>
      <c r="B64" s="44" t="s">
        <v>105</v>
      </c>
      <c r="C64" s="57">
        <v>172.4</v>
      </c>
      <c r="D64" s="65">
        <v>185</v>
      </c>
      <c r="E64" s="45">
        <v>110</v>
      </c>
      <c r="F64" s="46">
        <f>1.73*115*510/1000</f>
        <v>101.4645</v>
      </c>
      <c r="G64" s="29">
        <v>2.4809999999999999</v>
      </c>
      <c r="H64" s="46">
        <f t="shared" si="1"/>
        <v>98.983500000000006</v>
      </c>
    </row>
    <row r="65" spans="1:8" x14ac:dyDescent="0.25">
      <c r="A65" s="17">
        <v>10</v>
      </c>
      <c r="B65" s="44" t="s">
        <v>62</v>
      </c>
      <c r="C65" s="57">
        <v>3.35</v>
      </c>
      <c r="D65" s="65">
        <v>120</v>
      </c>
      <c r="E65" s="45">
        <v>110</v>
      </c>
      <c r="F65" s="46">
        <f>1.73*115*380/1000</f>
        <v>75.600999999999999</v>
      </c>
      <c r="G65" s="29">
        <v>0</v>
      </c>
      <c r="H65" s="53" t="s">
        <v>106</v>
      </c>
    </row>
    <row r="66" spans="1:8" x14ac:dyDescent="0.25">
      <c r="A66" s="18">
        <v>11</v>
      </c>
      <c r="B66" s="47" t="s">
        <v>63</v>
      </c>
      <c r="C66" s="59">
        <v>19</v>
      </c>
      <c r="D66" s="66">
        <v>35</v>
      </c>
      <c r="E66" s="48">
        <v>35</v>
      </c>
      <c r="F66" s="49">
        <f>1.73*37*175/1000</f>
        <v>11.201750000000001</v>
      </c>
      <c r="G66" s="30">
        <v>8.5999999999999993E-2</v>
      </c>
      <c r="H66" s="49">
        <f t="shared" si="1"/>
        <v>11.11575</v>
      </c>
    </row>
    <row r="67" spans="1:8" x14ac:dyDescent="0.25">
      <c r="A67" s="20"/>
      <c r="B67" s="40" t="s">
        <v>64</v>
      </c>
      <c r="C67" s="60"/>
      <c r="D67" s="67"/>
      <c r="E67" s="40"/>
      <c r="F67" s="50"/>
      <c r="G67" s="32"/>
      <c r="H67" s="50"/>
    </row>
    <row r="68" spans="1:8" x14ac:dyDescent="0.25">
      <c r="A68" s="16">
        <v>12</v>
      </c>
      <c r="B68" s="41" t="s">
        <v>65</v>
      </c>
      <c r="C68" s="61">
        <v>89.5</v>
      </c>
      <c r="D68" s="64">
        <v>120</v>
      </c>
      <c r="E68" s="42">
        <v>110</v>
      </c>
      <c r="F68" s="43">
        <f>1.73*115*380/1000</f>
        <v>75.600999999999999</v>
      </c>
      <c r="G68" s="28">
        <v>0.06</v>
      </c>
      <c r="H68" s="43">
        <f t="shared" si="1"/>
        <v>75.540999999999997</v>
      </c>
    </row>
    <row r="69" spans="1:8" x14ac:dyDescent="0.25">
      <c r="A69" s="17">
        <v>13</v>
      </c>
      <c r="B69" s="44" t="s">
        <v>66</v>
      </c>
      <c r="C69" s="57">
        <v>118.61</v>
      </c>
      <c r="D69" s="65">
        <v>120</v>
      </c>
      <c r="E69" s="45">
        <v>110</v>
      </c>
      <c r="F69" s="46">
        <f>1.73*115*380/1000</f>
        <v>75.600999999999999</v>
      </c>
      <c r="G69" s="29">
        <v>0</v>
      </c>
      <c r="H69" s="53" t="s">
        <v>106</v>
      </c>
    </row>
    <row r="70" spans="1:8" x14ac:dyDescent="0.25">
      <c r="A70" s="18">
        <v>14</v>
      </c>
      <c r="B70" s="47" t="s">
        <v>67</v>
      </c>
      <c r="C70" s="59">
        <v>90.5</v>
      </c>
      <c r="D70" s="66">
        <v>120</v>
      </c>
      <c r="E70" s="48">
        <v>110</v>
      </c>
      <c r="F70" s="49">
        <f>1.73*115*380/1000</f>
        <v>75.600999999999999</v>
      </c>
      <c r="G70" s="30">
        <v>1.046</v>
      </c>
      <c r="H70" s="49">
        <f t="shared" si="1"/>
        <v>74.554999999999993</v>
      </c>
    </row>
    <row r="71" spans="1:8" x14ac:dyDescent="0.25">
      <c r="A71" s="20"/>
      <c r="B71" s="40" t="s">
        <v>68</v>
      </c>
      <c r="C71" s="62"/>
      <c r="D71" s="67"/>
      <c r="E71" s="40"/>
      <c r="F71" s="50"/>
      <c r="G71" s="32"/>
      <c r="H71" s="50"/>
    </row>
    <row r="72" spans="1:8" x14ac:dyDescent="0.25">
      <c r="A72" s="16">
        <v>15</v>
      </c>
      <c r="B72" s="41" t="s">
        <v>69</v>
      </c>
      <c r="C72" s="56">
        <v>51</v>
      </c>
      <c r="D72" s="64">
        <v>185</v>
      </c>
      <c r="E72" s="42">
        <v>110</v>
      </c>
      <c r="F72" s="43">
        <f>1.73*115*510/1000</f>
        <v>101.4645</v>
      </c>
      <c r="G72" s="28">
        <v>1.7450000000000001</v>
      </c>
      <c r="H72" s="43">
        <f t="shared" si="1"/>
        <v>99.719499999999996</v>
      </c>
    </row>
    <row r="73" spans="1:8" x14ac:dyDescent="0.25">
      <c r="A73" s="18">
        <v>16</v>
      </c>
      <c r="B73" s="47" t="s">
        <v>70</v>
      </c>
      <c r="C73" s="63">
        <v>2.2599999999999998</v>
      </c>
      <c r="D73" s="66">
        <v>70</v>
      </c>
      <c r="E73" s="48">
        <v>35</v>
      </c>
      <c r="F73" s="49">
        <f>1.73*37*265/1000</f>
        <v>16.96265</v>
      </c>
      <c r="G73" s="30">
        <v>1.5229999999999999</v>
      </c>
      <c r="H73" s="49">
        <f t="shared" si="1"/>
        <v>15.43965</v>
      </c>
    </row>
    <row r="74" spans="1:8" x14ac:dyDescent="0.25">
      <c r="A74" s="20"/>
      <c r="B74" s="40" t="s">
        <v>71</v>
      </c>
      <c r="C74" s="60"/>
      <c r="D74" s="67"/>
      <c r="E74" s="40"/>
      <c r="F74" s="50"/>
      <c r="G74" s="32"/>
      <c r="H74" s="50"/>
    </row>
    <row r="75" spans="1:8" x14ac:dyDescent="0.25">
      <c r="A75" s="16">
        <v>17</v>
      </c>
      <c r="B75" s="41" t="s">
        <v>72</v>
      </c>
      <c r="C75" s="56">
        <v>30</v>
      </c>
      <c r="D75" s="64">
        <v>95</v>
      </c>
      <c r="E75" s="42">
        <v>35</v>
      </c>
      <c r="F75" s="43">
        <f>1.73*37*330/1000</f>
        <v>21.123300000000004</v>
      </c>
      <c r="G75" s="28">
        <v>3.1E-2</v>
      </c>
      <c r="H75" s="43">
        <f t="shared" si="1"/>
        <v>21.092300000000005</v>
      </c>
    </row>
    <row r="76" spans="1:8" x14ac:dyDescent="0.25">
      <c r="A76" s="17">
        <v>18</v>
      </c>
      <c r="B76" s="44" t="s">
        <v>73</v>
      </c>
      <c r="C76" s="57">
        <v>53.3</v>
      </c>
      <c r="D76" s="65">
        <v>70</v>
      </c>
      <c r="E76" s="45">
        <v>35</v>
      </c>
      <c r="F76" s="46">
        <f>1.73*37*265/1000</f>
        <v>16.96265</v>
      </c>
      <c r="G76" s="29">
        <v>1.538</v>
      </c>
      <c r="H76" s="46">
        <f t="shared" si="1"/>
        <v>15.42465</v>
      </c>
    </row>
    <row r="77" spans="1:8" x14ac:dyDescent="0.25">
      <c r="A77" s="17">
        <v>19</v>
      </c>
      <c r="B77" s="44" t="s">
        <v>74</v>
      </c>
      <c r="C77" s="58">
        <v>30.9</v>
      </c>
      <c r="D77" s="65">
        <v>70</v>
      </c>
      <c r="E77" s="45">
        <v>35</v>
      </c>
      <c r="F77" s="46">
        <f>1.73*37*265/1000</f>
        <v>16.96265</v>
      </c>
      <c r="G77" s="29">
        <v>0</v>
      </c>
      <c r="H77" s="53" t="s">
        <v>106</v>
      </c>
    </row>
    <row r="78" spans="1:8" x14ac:dyDescent="0.25">
      <c r="A78" s="17">
        <v>20</v>
      </c>
      <c r="B78" s="44" t="s">
        <v>75</v>
      </c>
      <c r="C78" s="57">
        <v>33.14</v>
      </c>
      <c r="D78" s="65">
        <v>70</v>
      </c>
      <c r="E78" s="45">
        <v>35</v>
      </c>
      <c r="F78" s="46">
        <f>1.73*37*265/1000</f>
        <v>16.96265</v>
      </c>
      <c r="G78" s="29">
        <v>0</v>
      </c>
      <c r="H78" s="53" t="s">
        <v>106</v>
      </c>
    </row>
    <row r="79" spans="1:8" x14ac:dyDescent="0.25">
      <c r="A79" s="18">
        <v>21</v>
      </c>
      <c r="B79" s="47" t="s">
        <v>76</v>
      </c>
      <c r="C79" s="63">
        <v>44.5</v>
      </c>
      <c r="D79" s="66">
        <v>95</v>
      </c>
      <c r="E79" s="48">
        <v>35</v>
      </c>
      <c r="F79" s="49">
        <f>1.73*37*330/1000</f>
        <v>21.123300000000004</v>
      </c>
      <c r="G79" s="30">
        <v>7.9000000000000001E-2</v>
      </c>
      <c r="H79" s="49">
        <f t="shared" si="1"/>
        <v>21.044300000000003</v>
      </c>
    </row>
    <row r="80" spans="1:8" x14ac:dyDescent="0.25">
      <c r="A80" s="20"/>
      <c r="B80" s="40" t="s">
        <v>77</v>
      </c>
      <c r="C80" s="62"/>
      <c r="D80" s="67"/>
      <c r="E80" s="40"/>
      <c r="F80" s="50"/>
      <c r="G80" s="32"/>
      <c r="H80" s="50"/>
    </row>
    <row r="81" spans="1:8" x14ac:dyDescent="0.25">
      <c r="A81" s="20">
        <v>22</v>
      </c>
      <c r="B81" s="5" t="s">
        <v>78</v>
      </c>
      <c r="C81" s="60">
        <v>15.4</v>
      </c>
      <c r="D81" s="67">
        <v>95</v>
      </c>
      <c r="E81" s="51">
        <v>35</v>
      </c>
      <c r="F81" s="52">
        <f>1.73*37*330/1000</f>
        <v>21.123300000000004</v>
      </c>
      <c r="G81" s="32">
        <v>0</v>
      </c>
      <c r="H81" s="54" t="s">
        <v>106</v>
      </c>
    </row>
    <row r="82" spans="1:8" x14ac:dyDescent="0.25">
      <c r="A82" s="20"/>
      <c r="B82" s="40" t="s">
        <v>79</v>
      </c>
      <c r="C82" s="62"/>
      <c r="D82" s="67"/>
      <c r="E82" s="40"/>
      <c r="F82" s="50"/>
      <c r="G82" s="32"/>
      <c r="H82" s="50"/>
    </row>
    <row r="83" spans="1:8" x14ac:dyDescent="0.25">
      <c r="A83" s="20">
        <v>23</v>
      </c>
      <c r="B83" s="5" t="s">
        <v>80</v>
      </c>
      <c r="C83" s="60">
        <v>4</v>
      </c>
      <c r="D83" s="67">
        <v>95</v>
      </c>
      <c r="E83" s="51">
        <v>110</v>
      </c>
      <c r="F83" s="52">
        <f>1.73*115*330/1000</f>
        <v>65.653499999999994</v>
      </c>
      <c r="G83" s="32">
        <v>0</v>
      </c>
      <c r="H83" s="54" t="s">
        <v>106</v>
      </c>
    </row>
    <row r="84" spans="1:8" x14ac:dyDescent="0.25">
      <c r="A84" s="20"/>
      <c r="B84" s="40" t="s">
        <v>81</v>
      </c>
      <c r="C84" s="62"/>
      <c r="D84" s="67"/>
      <c r="E84" s="40"/>
      <c r="F84" s="50"/>
      <c r="G84" s="32"/>
      <c r="H84" s="50"/>
    </row>
    <row r="85" spans="1:8" x14ac:dyDescent="0.25">
      <c r="A85" s="16">
        <v>24</v>
      </c>
      <c r="B85" s="41" t="s">
        <v>66</v>
      </c>
      <c r="C85" s="56">
        <v>118.61</v>
      </c>
      <c r="D85" s="64">
        <v>120</v>
      </c>
      <c r="E85" s="42">
        <v>110</v>
      </c>
      <c r="F85" s="43">
        <f>1.73*115*380/1000</f>
        <v>75.600999999999999</v>
      </c>
      <c r="G85" s="28">
        <v>2.4E-2</v>
      </c>
      <c r="H85" s="43">
        <f t="shared" si="1"/>
        <v>75.576999999999998</v>
      </c>
    </row>
    <row r="86" spans="1:8" x14ac:dyDescent="0.25">
      <c r="A86" s="17">
        <v>25</v>
      </c>
      <c r="B86" s="44" t="s">
        <v>82</v>
      </c>
      <c r="C86" s="57">
        <v>48.3</v>
      </c>
      <c r="D86" s="65">
        <v>185</v>
      </c>
      <c r="E86" s="45">
        <v>110</v>
      </c>
      <c r="F86" s="46">
        <f>1.73*115*510/1000</f>
        <v>101.4645</v>
      </c>
      <c r="G86" s="29">
        <v>6.3120000000000003</v>
      </c>
      <c r="H86" s="46">
        <f t="shared" si="1"/>
        <v>95.152500000000003</v>
      </c>
    </row>
    <row r="87" spans="1:8" x14ac:dyDescent="0.25">
      <c r="A87" s="18">
        <v>26</v>
      </c>
      <c r="B87" s="47" t="s">
        <v>83</v>
      </c>
      <c r="C87" s="63">
        <v>30.5</v>
      </c>
      <c r="D87" s="66">
        <v>50</v>
      </c>
      <c r="E87" s="48">
        <v>35</v>
      </c>
      <c r="F87" s="49">
        <f>1.73*37*210/1000</f>
        <v>13.4421</v>
      </c>
      <c r="G87" s="30">
        <v>1.242</v>
      </c>
      <c r="H87" s="49">
        <f t="shared" si="1"/>
        <v>12.200099999999999</v>
      </c>
    </row>
    <row r="88" spans="1:8" x14ac:dyDescent="0.25">
      <c r="A88" s="20"/>
      <c r="B88" s="40" t="s">
        <v>84</v>
      </c>
      <c r="C88" s="60"/>
      <c r="D88" s="67"/>
      <c r="E88" s="40"/>
      <c r="F88" s="50"/>
      <c r="G88" s="32"/>
      <c r="H88" s="50"/>
    </row>
    <row r="89" spans="1:8" x14ac:dyDescent="0.25">
      <c r="A89" s="16">
        <v>27</v>
      </c>
      <c r="B89" s="41" t="s">
        <v>85</v>
      </c>
      <c r="C89" s="56">
        <v>38.4</v>
      </c>
      <c r="D89" s="64">
        <v>120</v>
      </c>
      <c r="E89" s="42">
        <v>110</v>
      </c>
      <c r="F89" s="43">
        <f>1.73*115*380/1000</f>
        <v>75.600999999999999</v>
      </c>
      <c r="G89" s="28">
        <v>4.968</v>
      </c>
      <c r="H89" s="43">
        <f t="shared" si="1"/>
        <v>70.632999999999996</v>
      </c>
    </row>
    <row r="90" spans="1:8" x14ac:dyDescent="0.25">
      <c r="A90" s="18">
        <v>28</v>
      </c>
      <c r="B90" s="47" t="s">
        <v>86</v>
      </c>
      <c r="C90" s="59">
        <v>1.6</v>
      </c>
      <c r="D90" s="66">
        <v>70</v>
      </c>
      <c r="E90" s="48">
        <v>35</v>
      </c>
      <c r="F90" s="49">
        <f>1.73*37*265/1000</f>
        <v>16.96265</v>
      </c>
      <c r="G90" s="55">
        <v>0</v>
      </c>
      <c r="H90" s="77" t="s">
        <v>106</v>
      </c>
    </row>
    <row r="91" spans="1:8" x14ac:dyDescent="0.25">
      <c r="A91" s="20"/>
      <c r="B91" s="40" t="s">
        <v>87</v>
      </c>
      <c r="C91" s="62"/>
      <c r="D91" s="67"/>
      <c r="E91" s="40"/>
      <c r="F91" s="50"/>
      <c r="G91" s="32"/>
      <c r="H91" s="50"/>
    </row>
    <row r="92" spans="1:8" x14ac:dyDescent="0.25">
      <c r="A92" s="20">
        <v>29</v>
      </c>
      <c r="B92" s="5" t="s">
        <v>88</v>
      </c>
      <c r="C92" s="60">
        <v>45.2</v>
      </c>
      <c r="D92" s="67">
        <v>70</v>
      </c>
      <c r="E92" s="51">
        <v>35</v>
      </c>
      <c r="F92" s="52">
        <f>1.73*37*265/1000</f>
        <v>16.96265</v>
      </c>
      <c r="G92" s="32">
        <v>0.12</v>
      </c>
      <c r="H92" s="52">
        <f t="shared" si="1"/>
        <v>16.842649999999999</v>
      </c>
    </row>
    <row r="93" spans="1:8" x14ac:dyDescent="0.25">
      <c r="A93" s="20"/>
      <c r="B93" s="40" t="s">
        <v>89</v>
      </c>
      <c r="C93" s="62"/>
      <c r="D93" s="67"/>
      <c r="E93" s="40"/>
      <c r="F93" s="50"/>
      <c r="G93" s="32"/>
      <c r="H93" s="50"/>
    </row>
    <row r="94" spans="1:8" x14ac:dyDescent="0.25">
      <c r="A94" s="20">
        <v>30</v>
      </c>
      <c r="B94" s="5" t="s">
        <v>90</v>
      </c>
      <c r="C94" s="60">
        <v>65</v>
      </c>
      <c r="D94" s="67" t="s">
        <v>108</v>
      </c>
      <c r="E94" s="51">
        <v>35</v>
      </c>
      <c r="F94" s="52">
        <f>1.73*37*265/1000</f>
        <v>16.96265</v>
      </c>
      <c r="G94" s="32">
        <v>0.438</v>
      </c>
      <c r="H94" s="52">
        <f t="shared" si="1"/>
        <v>16.524650000000001</v>
      </c>
    </row>
    <row r="95" spans="1:8" x14ac:dyDescent="0.25">
      <c r="A95" s="20"/>
      <c r="B95" s="40" t="s">
        <v>91</v>
      </c>
      <c r="C95" s="60"/>
      <c r="D95" s="67"/>
      <c r="E95" s="40"/>
      <c r="F95" s="50"/>
      <c r="G95" s="32"/>
      <c r="H95" s="50"/>
    </row>
    <row r="96" spans="1:8" x14ac:dyDescent="0.25">
      <c r="A96" s="16">
        <v>31</v>
      </c>
      <c r="B96" s="41" t="s">
        <v>92</v>
      </c>
      <c r="C96" s="56">
        <v>71.2</v>
      </c>
      <c r="D96" s="64">
        <v>70</v>
      </c>
      <c r="E96" s="42">
        <v>35</v>
      </c>
      <c r="F96" s="43">
        <f>1.73*37*265/1000</f>
        <v>16.96265</v>
      </c>
      <c r="G96" s="79">
        <v>5.0000000000000001E-3</v>
      </c>
      <c r="H96" s="43">
        <f t="shared" si="1"/>
        <v>16.957650000000001</v>
      </c>
    </row>
    <row r="97" spans="1:8" x14ac:dyDescent="0.25">
      <c r="A97" s="18">
        <v>32</v>
      </c>
      <c r="B97" s="47" t="s">
        <v>93</v>
      </c>
      <c r="C97" s="25">
        <v>38.6</v>
      </c>
      <c r="D97" s="68">
        <v>95</v>
      </c>
      <c r="E97" s="48">
        <v>35</v>
      </c>
      <c r="F97" s="49">
        <f>1.73*37*330/1000</f>
        <v>21.123300000000004</v>
      </c>
      <c r="G97" s="55">
        <v>1.7999999999999999E-2</v>
      </c>
      <c r="H97" s="49">
        <f t="shared" si="1"/>
        <v>21.105300000000003</v>
      </c>
    </row>
    <row r="98" spans="1:8" x14ac:dyDescent="0.25">
      <c r="A98" s="20"/>
      <c r="B98" s="40" t="s">
        <v>94</v>
      </c>
      <c r="C98" s="26"/>
      <c r="D98" s="69"/>
      <c r="E98" s="40"/>
      <c r="F98" s="50"/>
      <c r="G98" s="32"/>
      <c r="H98" s="50"/>
    </row>
    <row r="99" spans="1:8" x14ac:dyDescent="0.25">
      <c r="A99" s="20">
        <v>33</v>
      </c>
      <c r="B99" s="5" t="s">
        <v>95</v>
      </c>
      <c r="C99" s="26">
        <v>17.7</v>
      </c>
      <c r="D99" s="69">
        <v>70</v>
      </c>
      <c r="E99" s="51">
        <v>35</v>
      </c>
      <c r="F99" s="52">
        <f>1.73*37*265/1000</f>
        <v>16.96265</v>
      </c>
      <c r="G99" s="73">
        <v>8.0000000000000002E-3</v>
      </c>
      <c r="H99" s="52">
        <f t="shared" si="1"/>
        <v>16.954650000000001</v>
      </c>
    </row>
    <row r="100" spans="1:8" x14ac:dyDescent="0.25">
      <c r="A100" s="20"/>
      <c r="B100" s="40" t="s">
        <v>96</v>
      </c>
      <c r="C100" s="26"/>
      <c r="D100" s="69"/>
      <c r="E100" s="40"/>
      <c r="F100" s="50"/>
      <c r="G100" s="32"/>
      <c r="H100" s="50"/>
    </row>
    <row r="101" spans="1:8" x14ac:dyDescent="0.25">
      <c r="A101" s="20">
        <v>34</v>
      </c>
      <c r="B101" s="5" t="s">
        <v>97</v>
      </c>
      <c r="C101" s="26">
        <v>19.5</v>
      </c>
      <c r="D101" s="69">
        <v>95</v>
      </c>
      <c r="E101" s="51">
        <v>35</v>
      </c>
      <c r="F101" s="52">
        <f>1.73*37*330/1000</f>
        <v>21.123300000000004</v>
      </c>
      <c r="G101" s="32">
        <v>0.47499999999999998</v>
      </c>
      <c r="H101" s="52">
        <f t="shared" si="1"/>
        <v>20.648300000000003</v>
      </c>
    </row>
    <row r="102" spans="1:8" x14ac:dyDescent="0.25">
      <c r="A102" s="20"/>
      <c r="B102" s="40" t="s">
        <v>98</v>
      </c>
      <c r="C102" s="26"/>
      <c r="D102" s="69"/>
      <c r="E102" s="40"/>
      <c r="F102" s="50"/>
      <c r="G102" s="32"/>
      <c r="H102" s="50"/>
    </row>
    <row r="103" spans="1:8" x14ac:dyDescent="0.25">
      <c r="A103" s="16">
        <v>35</v>
      </c>
      <c r="B103" s="41" t="s">
        <v>99</v>
      </c>
      <c r="C103" s="23">
        <v>28.96</v>
      </c>
      <c r="D103" s="70">
        <v>70</v>
      </c>
      <c r="E103" s="42">
        <v>35</v>
      </c>
      <c r="F103" s="43">
        <f>1.73*37*265/1000</f>
        <v>16.96265</v>
      </c>
      <c r="G103" s="28">
        <v>4.2999999999999997E-2</v>
      </c>
      <c r="H103" s="43">
        <f t="shared" si="1"/>
        <v>16.919650000000001</v>
      </c>
    </row>
    <row r="104" spans="1:8" x14ac:dyDescent="0.25">
      <c r="A104" s="17">
        <v>36</v>
      </c>
      <c r="B104" s="44" t="s">
        <v>100</v>
      </c>
      <c r="C104" s="24">
        <v>15</v>
      </c>
      <c r="D104" s="71">
        <v>70</v>
      </c>
      <c r="E104" s="45">
        <v>35</v>
      </c>
      <c r="F104" s="46">
        <f>1.73*37*265/1000</f>
        <v>16.96265</v>
      </c>
      <c r="G104" s="29">
        <v>0.106</v>
      </c>
      <c r="H104" s="46">
        <f t="shared" si="1"/>
        <v>16.856649999999998</v>
      </c>
    </row>
    <row r="105" spans="1:8" x14ac:dyDescent="0.25">
      <c r="A105" s="18">
        <v>37</v>
      </c>
      <c r="B105" s="47" t="s">
        <v>101</v>
      </c>
      <c r="C105" s="25">
        <v>35.26</v>
      </c>
      <c r="D105" s="68">
        <v>70</v>
      </c>
      <c r="E105" s="48">
        <v>35</v>
      </c>
      <c r="F105" s="49">
        <f>1.73*37*265/1000</f>
        <v>16.96265</v>
      </c>
      <c r="G105" s="30">
        <v>0.38200000000000001</v>
      </c>
      <c r="H105" s="49">
        <f t="shared" si="1"/>
        <v>16.580649999999999</v>
      </c>
    </row>
    <row r="106" spans="1:8" x14ac:dyDescent="0.25">
      <c r="A106" s="20"/>
      <c r="B106" s="40" t="s">
        <v>102</v>
      </c>
      <c r="C106" s="26"/>
      <c r="D106" s="69"/>
      <c r="E106" s="40"/>
      <c r="F106" s="50"/>
      <c r="G106" s="32"/>
      <c r="H106" s="50"/>
    </row>
    <row r="107" spans="1:8" x14ac:dyDescent="0.25">
      <c r="A107" s="16">
        <v>38</v>
      </c>
      <c r="B107" s="41" t="s">
        <v>103</v>
      </c>
      <c r="C107" s="23">
        <v>40.75</v>
      </c>
      <c r="D107" s="70">
        <v>70</v>
      </c>
      <c r="E107" s="42">
        <v>35</v>
      </c>
      <c r="F107" s="43">
        <f>1.73*37*265/1000</f>
        <v>16.96265</v>
      </c>
      <c r="G107" s="28">
        <v>0.156</v>
      </c>
      <c r="H107" s="43">
        <f t="shared" si="1"/>
        <v>16.806650000000001</v>
      </c>
    </row>
    <row r="108" spans="1:8" x14ac:dyDescent="0.25">
      <c r="A108" s="18">
        <v>39</v>
      </c>
      <c r="B108" s="47" t="s">
        <v>104</v>
      </c>
      <c r="C108" s="25">
        <v>38.14</v>
      </c>
      <c r="D108" s="68">
        <v>120</v>
      </c>
      <c r="E108" s="48">
        <v>35</v>
      </c>
      <c r="F108" s="49">
        <f>1.73*37*380/1000</f>
        <v>24.323800000000002</v>
      </c>
      <c r="G108" s="30">
        <v>0.13100000000000001</v>
      </c>
      <c r="H108" s="49">
        <f t="shared" si="1"/>
        <v>24.192800000000002</v>
      </c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8"/>
  <sheetViews>
    <sheetView workbookViewId="0">
      <selection activeCell="A4" sqref="A4:H4"/>
    </sheetView>
  </sheetViews>
  <sheetFormatPr defaultRowHeight="15.75" x14ac:dyDescent="0.25"/>
  <cols>
    <col min="1" max="1" width="5.28515625" style="21" customWidth="1"/>
    <col min="2" max="2" width="20.5703125" style="1" bestFit="1" customWidth="1"/>
    <col min="3" max="3" width="11.5703125" style="1" customWidth="1"/>
    <col min="4" max="4" width="21" style="1" customWidth="1"/>
    <col min="5" max="5" width="14" style="21" customWidth="1"/>
    <col min="6" max="6" width="18.28515625" style="1" customWidth="1"/>
    <col min="7" max="7" width="11.7109375" style="33" customWidth="1"/>
    <col min="8" max="8" width="17.28515625" style="39" bestFit="1" customWidth="1"/>
    <col min="9" max="16384" width="9.140625" style="1"/>
  </cols>
  <sheetData>
    <row r="1" spans="1:8" x14ac:dyDescent="0.25">
      <c r="A1" s="115" t="s">
        <v>0</v>
      </c>
      <c r="B1" s="115"/>
      <c r="C1" s="115"/>
      <c r="D1" s="115"/>
      <c r="E1" s="115"/>
      <c r="F1" s="115"/>
      <c r="G1" s="115"/>
      <c r="H1" s="115"/>
    </row>
    <row r="2" spans="1:8" x14ac:dyDescent="0.25">
      <c r="A2" s="115" t="s">
        <v>1</v>
      </c>
      <c r="B2" s="115"/>
      <c r="C2" s="115"/>
      <c r="D2" s="115"/>
      <c r="E2" s="115"/>
      <c r="F2" s="115"/>
      <c r="G2" s="115"/>
      <c r="H2" s="115"/>
    </row>
    <row r="4" spans="1:8" x14ac:dyDescent="0.25">
      <c r="A4" s="115" t="s">
        <v>2</v>
      </c>
      <c r="B4" s="115"/>
      <c r="C4" s="115"/>
      <c r="D4" s="115"/>
      <c r="E4" s="115"/>
      <c r="F4" s="115"/>
      <c r="G4" s="115"/>
      <c r="H4" s="115"/>
    </row>
    <row r="6" spans="1:8" x14ac:dyDescent="0.25">
      <c r="A6" s="115" t="s">
        <v>3</v>
      </c>
      <c r="B6" s="115"/>
      <c r="C6" s="115"/>
      <c r="D6" s="115"/>
      <c r="E6" s="115"/>
      <c r="F6" s="115"/>
      <c r="G6" s="115"/>
      <c r="H6" s="115"/>
    </row>
    <row r="8" spans="1:8" s="2" customFormat="1" ht="47.25" x14ac:dyDescent="0.25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76" t="s">
        <v>9</v>
      </c>
      <c r="G8" s="27" t="s">
        <v>128</v>
      </c>
      <c r="H8" s="27" t="s">
        <v>10</v>
      </c>
    </row>
    <row r="9" spans="1:8" x14ac:dyDescent="0.25">
      <c r="A9" s="16">
        <v>1</v>
      </c>
      <c r="B9" s="9" t="s">
        <v>11</v>
      </c>
      <c r="C9" s="14" t="s">
        <v>12</v>
      </c>
      <c r="D9" s="14" t="s">
        <v>110</v>
      </c>
      <c r="E9" s="16" t="s">
        <v>40</v>
      </c>
      <c r="F9" s="14">
        <v>25000</v>
      </c>
      <c r="G9" s="28">
        <v>0</v>
      </c>
      <c r="H9" s="34" t="s">
        <v>106</v>
      </c>
    </row>
    <row r="10" spans="1:8" x14ac:dyDescent="0.25">
      <c r="A10" s="17"/>
      <c r="B10" s="10"/>
      <c r="C10" s="11" t="s">
        <v>13</v>
      </c>
      <c r="D10" s="11" t="s">
        <v>110</v>
      </c>
      <c r="E10" s="17" t="s">
        <v>40</v>
      </c>
      <c r="F10" s="11">
        <v>25000</v>
      </c>
      <c r="G10" s="29">
        <v>0</v>
      </c>
      <c r="H10" s="35" t="s">
        <v>106</v>
      </c>
    </row>
    <row r="11" spans="1:8" x14ac:dyDescent="0.25">
      <c r="A11" s="18"/>
      <c r="B11" s="12"/>
      <c r="C11" s="13" t="s">
        <v>14</v>
      </c>
      <c r="D11" s="13" t="s">
        <v>110</v>
      </c>
      <c r="E11" s="18" t="s">
        <v>41</v>
      </c>
      <c r="F11" s="13">
        <v>2500</v>
      </c>
      <c r="G11" s="55">
        <v>0.03</v>
      </c>
      <c r="H11" s="36">
        <f>F11/1000-G11</f>
        <v>2.4700000000000002</v>
      </c>
    </row>
    <row r="12" spans="1:8" x14ac:dyDescent="0.25">
      <c r="A12" s="16">
        <v>2</v>
      </c>
      <c r="B12" s="9" t="s">
        <v>15</v>
      </c>
      <c r="C12" s="14" t="s">
        <v>12</v>
      </c>
      <c r="D12" s="14" t="s">
        <v>111</v>
      </c>
      <c r="E12" s="16" t="s">
        <v>43</v>
      </c>
      <c r="F12" s="14">
        <v>16000</v>
      </c>
      <c r="G12" s="28">
        <v>2.72</v>
      </c>
      <c r="H12" s="34">
        <f t="shared" ref="H12:H49" si="0">F12/1000-G12</f>
        <v>13.28</v>
      </c>
    </row>
    <row r="13" spans="1:8" x14ac:dyDescent="0.25">
      <c r="A13" s="18"/>
      <c r="B13" s="12"/>
      <c r="C13" s="13" t="s">
        <v>13</v>
      </c>
      <c r="D13" s="13" t="s">
        <v>111</v>
      </c>
      <c r="E13" s="18" t="s">
        <v>43</v>
      </c>
      <c r="F13" s="13">
        <v>16000</v>
      </c>
      <c r="G13" s="30">
        <v>1.32</v>
      </c>
      <c r="H13" s="36">
        <f t="shared" si="0"/>
        <v>14.68</v>
      </c>
    </row>
    <row r="14" spans="1:8" x14ac:dyDescent="0.25">
      <c r="A14" s="19">
        <v>3</v>
      </c>
      <c r="B14" s="7" t="s">
        <v>16</v>
      </c>
      <c r="C14" s="72" t="s">
        <v>12</v>
      </c>
      <c r="D14" s="15" t="s">
        <v>110</v>
      </c>
      <c r="E14" s="19" t="s">
        <v>43</v>
      </c>
      <c r="F14" s="15">
        <v>10000</v>
      </c>
      <c r="G14" s="78">
        <v>2.9000000000000001E-2</v>
      </c>
      <c r="H14" s="37">
        <f t="shared" si="0"/>
        <v>9.9710000000000001</v>
      </c>
    </row>
    <row r="15" spans="1:8" x14ac:dyDescent="0.25">
      <c r="A15" s="20">
        <v>4</v>
      </c>
      <c r="B15" s="4" t="s">
        <v>17</v>
      </c>
      <c r="C15" s="15" t="s">
        <v>12</v>
      </c>
      <c r="D15" s="8" t="s">
        <v>110</v>
      </c>
      <c r="E15" s="20" t="s">
        <v>43</v>
      </c>
      <c r="F15" s="8">
        <v>10000</v>
      </c>
      <c r="G15" s="73">
        <v>1.2999999999999999E-2</v>
      </c>
      <c r="H15" s="38">
        <f t="shared" si="0"/>
        <v>9.9870000000000001</v>
      </c>
    </row>
    <row r="16" spans="1:8" x14ac:dyDescent="0.25">
      <c r="A16" s="16">
        <v>5</v>
      </c>
      <c r="B16" s="9" t="s">
        <v>18</v>
      </c>
      <c r="C16" s="14" t="s">
        <v>12</v>
      </c>
      <c r="D16" s="14" t="s">
        <v>125</v>
      </c>
      <c r="E16" s="16" t="s">
        <v>43</v>
      </c>
      <c r="F16" s="14">
        <v>40000</v>
      </c>
      <c r="G16" s="28">
        <v>1.62</v>
      </c>
      <c r="H16" s="34">
        <f t="shared" si="0"/>
        <v>38.380000000000003</v>
      </c>
    </row>
    <row r="17" spans="1:8" x14ac:dyDescent="0.25">
      <c r="A17" s="18"/>
      <c r="B17" s="12"/>
      <c r="C17" s="13" t="s">
        <v>13</v>
      </c>
      <c r="D17" s="13" t="s">
        <v>125</v>
      </c>
      <c r="E17" s="18" t="s">
        <v>45</v>
      </c>
      <c r="F17" s="13">
        <v>5600</v>
      </c>
      <c r="G17" s="30">
        <v>1.0589999999999999</v>
      </c>
      <c r="H17" s="36">
        <f t="shared" si="0"/>
        <v>4.5409999999999995</v>
      </c>
    </row>
    <row r="18" spans="1:8" x14ac:dyDescent="0.25">
      <c r="A18" s="16">
        <v>6</v>
      </c>
      <c r="B18" s="9" t="s">
        <v>19</v>
      </c>
      <c r="C18" s="14" t="s">
        <v>12</v>
      </c>
      <c r="D18" s="14" t="s">
        <v>112</v>
      </c>
      <c r="E18" s="16" t="s">
        <v>42</v>
      </c>
      <c r="F18" s="14">
        <v>20000</v>
      </c>
      <c r="G18" s="28">
        <v>1.4999999999999999E-2</v>
      </c>
      <c r="H18" s="35">
        <f>F18/1000-G18</f>
        <v>19.984999999999999</v>
      </c>
    </row>
    <row r="19" spans="1:8" x14ac:dyDescent="0.25">
      <c r="A19" s="17"/>
      <c r="B19" s="10"/>
      <c r="C19" s="11" t="s">
        <v>13</v>
      </c>
      <c r="D19" s="11"/>
      <c r="E19" s="17" t="s">
        <v>42</v>
      </c>
      <c r="F19" s="11">
        <v>20000</v>
      </c>
      <c r="G19" s="29">
        <v>0.52</v>
      </c>
      <c r="H19" s="35">
        <f t="shared" si="0"/>
        <v>19.48</v>
      </c>
    </row>
    <row r="20" spans="1:8" x14ac:dyDescent="0.25">
      <c r="A20" s="18"/>
      <c r="B20" s="12"/>
      <c r="C20" s="13" t="s">
        <v>14</v>
      </c>
      <c r="D20" s="13"/>
      <c r="E20" s="18" t="s">
        <v>43</v>
      </c>
      <c r="F20" s="13">
        <v>10000</v>
      </c>
      <c r="G20" s="30">
        <v>0.46200000000000002</v>
      </c>
      <c r="H20" s="36">
        <f t="shared" si="0"/>
        <v>9.5380000000000003</v>
      </c>
    </row>
    <row r="21" spans="1:8" x14ac:dyDescent="0.25">
      <c r="A21" s="16">
        <v>7</v>
      </c>
      <c r="B21" s="9" t="s">
        <v>20</v>
      </c>
      <c r="C21" s="14" t="s">
        <v>12</v>
      </c>
      <c r="D21" s="14" t="s">
        <v>111</v>
      </c>
      <c r="E21" s="16" t="s">
        <v>42</v>
      </c>
      <c r="F21" s="14">
        <v>16000</v>
      </c>
      <c r="G21" s="28">
        <v>0</v>
      </c>
      <c r="H21" s="34" t="s">
        <v>106</v>
      </c>
    </row>
    <row r="22" spans="1:8" x14ac:dyDescent="0.25">
      <c r="A22" s="18"/>
      <c r="B22" s="12"/>
      <c r="C22" s="13" t="s">
        <v>13</v>
      </c>
      <c r="D22" s="13"/>
      <c r="E22" s="18" t="s">
        <v>42</v>
      </c>
      <c r="F22" s="13">
        <v>16000</v>
      </c>
      <c r="G22" s="30">
        <v>0.14399999999999999</v>
      </c>
      <c r="H22" s="30">
        <f t="shared" si="0"/>
        <v>15.856</v>
      </c>
    </row>
    <row r="23" spans="1:8" x14ac:dyDescent="0.25">
      <c r="A23" s="20">
        <v>8</v>
      </c>
      <c r="B23" s="4" t="s">
        <v>21</v>
      </c>
      <c r="C23" s="15" t="s">
        <v>12</v>
      </c>
      <c r="D23" s="6" t="s">
        <v>113</v>
      </c>
      <c r="E23" s="20" t="s">
        <v>42</v>
      </c>
      <c r="F23" s="6">
        <v>2500</v>
      </c>
      <c r="G23" s="32">
        <v>5.2999999999999999E-2</v>
      </c>
      <c r="H23" s="38">
        <f t="shared" si="0"/>
        <v>2.4470000000000001</v>
      </c>
    </row>
    <row r="24" spans="1:8" x14ac:dyDescent="0.25">
      <c r="A24" s="16">
        <v>9</v>
      </c>
      <c r="B24" s="9" t="s">
        <v>22</v>
      </c>
      <c r="C24" s="14" t="s">
        <v>12</v>
      </c>
      <c r="D24" s="14" t="s">
        <v>114</v>
      </c>
      <c r="E24" s="16" t="s">
        <v>43</v>
      </c>
      <c r="F24" s="14">
        <v>6300</v>
      </c>
      <c r="G24" s="28">
        <v>0</v>
      </c>
      <c r="H24" s="34" t="s">
        <v>106</v>
      </c>
    </row>
    <row r="25" spans="1:8" x14ac:dyDescent="0.25">
      <c r="A25" s="18"/>
      <c r="B25" s="12"/>
      <c r="C25" s="13" t="s">
        <v>13</v>
      </c>
      <c r="D25" s="13"/>
      <c r="E25" s="18" t="s">
        <v>43</v>
      </c>
      <c r="F25" s="13">
        <v>6300</v>
      </c>
      <c r="G25" s="30">
        <v>0.66100000000000003</v>
      </c>
      <c r="H25" s="36">
        <f t="shared" si="0"/>
        <v>5.6389999999999993</v>
      </c>
    </row>
    <row r="26" spans="1:8" x14ac:dyDescent="0.25">
      <c r="A26" s="16">
        <v>10</v>
      </c>
      <c r="B26" s="9" t="s">
        <v>23</v>
      </c>
      <c r="C26" s="14" t="s">
        <v>12</v>
      </c>
      <c r="D26" s="14" t="s">
        <v>111</v>
      </c>
      <c r="E26" s="16" t="s">
        <v>42</v>
      </c>
      <c r="F26" s="14">
        <v>16000</v>
      </c>
      <c r="G26" s="79">
        <v>1.0449999999999999</v>
      </c>
      <c r="H26" s="79">
        <f t="shared" si="0"/>
        <v>14.955</v>
      </c>
    </row>
    <row r="27" spans="1:8" x14ac:dyDescent="0.25">
      <c r="A27" s="18"/>
      <c r="B27" s="12"/>
      <c r="C27" s="13" t="s">
        <v>13</v>
      </c>
      <c r="D27" s="13"/>
      <c r="E27" s="18" t="s">
        <v>42</v>
      </c>
      <c r="F27" s="13">
        <v>16000</v>
      </c>
      <c r="G27" s="55">
        <v>5.5E-2</v>
      </c>
      <c r="H27" s="55">
        <f t="shared" si="0"/>
        <v>15.945</v>
      </c>
    </row>
    <row r="28" spans="1:8" ht="31.5" x14ac:dyDescent="0.25">
      <c r="A28" s="20">
        <v>11</v>
      </c>
      <c r="B28" s="4" t="s">
        <v>24</v>
      </c>
      <c r="C28" s="15" t="s">
        <v>12</v>
      </c>
      <c r="D28" s="74" t="s">
        <v>115</v>
      </c>
      <c r="E28" s="20" t="s">
        <v>42</v>
      </c>
      <c r="F28" s="15">
        <v>2500</v>
      </c>
      <c r="G28" s="32">
        <v>2.1000000000000001E-2</v>
      </c>
      <c r="H28" s="38">
        <f t="shared" si="0"/>
        <v>2.4790000000000001</v>
      </c>
    </row>
    <row r="29" spans="1:8" x14ac:dyDescent="0.25">
      <c r="A29" s="20">
        <v>12</v>
      </c>
      <c r="B29" s="4" t="s">
        <v>25</v>
      </c>
      <c r="C29" s="15" t="s">
        <v>12</v>
      </c>
      <c r="D29" s="8" t="s">
        <v>116</v>
      </c>
      <c r="E29" s="20" t="s">
        <v>42</v>
      </c>
      <c r="F29" s="8">
        <v>2500</v>
      </c>
      <c r="G29" s="32">
        <v>0.05</v>
      </c>
      <c r="H29" s="38">
        <f t="shared" si="0"/>
        <v>2.4500000000000002</v>
      </c>
    </row>
    <row r="30" spans="1:8" x14ac:dyDescent="0.25">
      <c r="A30" s="16">
        <v>13</v>
      </c>
      <c r="B30" s="9" t="s">
        <v>26</v>
      </c>
      <c r="C30" s="14" t="s">
        <v>12</v>
      </c>
      <c r="D30" s="14" t="s">
        <v>117</v>
      </c>
      <c r="E30" s="16" t="s">
        <v>43</v>
      </c>
      <c r="F30" s="14">
        <v>40000</v>
      </c>
      <c r="G30" s="28">
        <v>0.48799999999999999</v>
      </c>
      <c r="H30" s="34">
        <f t="shared" si="0"/>
        <v>39.512</v>
      </c>
    </row>
    <row r="31" spans="1:8" x14ac:dyDescent="0.25">
      <c r="A31" s="18"/>
      <c r="B31" s="12"/>
      <c r="C31" s="13" t="s">
        <v>13</v>
      </c>
      <c r="D31" s="13"/>
      <c r="E31" s="18" t="s">
        <v>43</v>
      </c>
      <c r="F31" s="13">
        <v>20000</v>
      </c>
      <c r="G31" s="30">
        <v>8.6910000000000007</v>
      </c>
      <c r="H31" s="36">
        <f>F31/1000-G31</f>
        <v>11.308999999999999</v>
      </c>
    </row>
    <row r="32" spans="1:8" ht="31.5" x14ac:dyDescent="0.25">
      <c r="A32" s="16">
        <v>14</v>
      </c>
      <c r="B32" s="9" t="s">
        <v>27</v>
      </c>
      <c r="C32" s="14" t="s">
        <v>12</v>
      </c>
      <c r="D32" s="75" t="s">
        <v>118</v>
      </c>
      <c r="E32" s="16" t="s">
        <v>42</v>
      </c>
      <c r="F32" s="14">
        <v>10000</v>
      </c>
      <c r="G32" s="28">
        <v>0.78400000000000003</v>
      </c>
      <c r="H32" s="28">
        <f t="shared" si="0"/>
        <v>9.2159999999999993</v>
      </c>
    </row>
    <row r="33" spans="1:8" x14ac:dyDescent="0.25">
      <c r="A33" s="18"/>
      <c r="B33" s="12"/>
      <c r="C33" s="13" t="s">
        <v>13</v>
      </c>
      <c r="D33" s="13"/>
      <c r="E33" s="18" t="s">
        <v>42</v>
      </c>
      <c r="F33" s="13">
        <v>10000</v>
      </c>
      <c r="G33" s="30">
        <v>0</v>
      </c>
      <c r="H33" s="36" t="s">
        <v>106</v>
      </c>
    </row>
    <row r="34" spans="1:8" x14ac:dyDescent="0.25">
      <c r="A34" s="20">
        <v>15</v>
      </c>
      <c r="B34" s="4" t="s">
        <v>28</v>
      </c>
      <c r="C34" s="15" t="s">
        <v>12</v>
      </c>
      <c r="D34" s="6" t="s">
        <v>119</v>
      </c>
      <c r="E34" s="20" t="s">
        <v>44</v>
      </c>
      <c r="F34" s="6">
        <v>6300</v>
      </c>
      <c r="G34" s="32">
        <v>0.09</v>
      </c>
      <c r="H34" s="38">
        <f t="shared" si="0"/>
        <v>6.21</v>
      </c>
    </row>
    <row r="35" spans="1:8" ht="47.25" x14ac:dyDescent="0.25">
      <c r="A35" s="16">
        <v>16</v>
      </c>
      <c r="B35" s="9" t="s">
        <v>29</v>
      </c>
      <c r="C35" s="14" t="s">
        <v>12</v>
      </c>
      <c r="D35" s="75" t="s">
        <v>127</v>
      </c>
      <c r="E35" s="16" t="s">
        <v>42</v>
      </c>
      <c r="F35" s="14">
        <v>6300</v>
      </c>
      <c r="G35" s="28">
        <v>0</v>
      </c>
      <c r="H35" s="34" t="s">
        <v>106</v>
      </c>
    </row>
    <row r="36" spans="1:8" x14ac:dyDescent="0.25">
      <c r="A36" s="18"/>
      <c r="B36" s="12"/>
      <c r="C36" s="13" t="s">
        <v>13</v>
      </c>
      <c r="D36" s="13"/>
      <c r="E36" s="22" t="s">
        <v>47</v>
      </c>
      <c r="F36" s="13">
        <v>10000</v>
      </c>
      <c r="G36" s="30">
        <v>0</v>
      </c>
      <c r="H36" s="36" t="s">
        <v>106</v>
      </c>
    </row>
    <row r="37" spans="1:8" x14ac:dyDescent="0.25">
      <c r="A37" s="16">
        <v>17</v>
      </c>
      <c r="B37" s="9" t="s">
        <v>30</v>
      </c>
      <c r="C37" s="14" t="s">
        <v>12</v>
      </c>
      <c r="D37" s="14" t="s">
        <v>126</v>
      </c>
      <c r="E37" s="16" t="s">
        <v>45</v>
      </c>
      <c r="F37" s="14">
        <v>5600</v>
      </c>
      <c r="G37" s="28">
        <v>8.7999999999999995E-2</v>
      </c>
      <c r="H37" s="34">
        <f t="shared" si="0"/>
        <v>5.5119999999999996</v>
      </c>
    </row>
    <row r="38" spans="1:8" x14ac:dyDescent="0.25">
      <c r="A38" s="18"/>
      <c r="B38" s="12"/>
      <c r="C38" s="13" t="s">
        <v>13</v>
      </c>
      <c r="D38" s="13"/>
      <c r="E38" s="18" t="s">
        <v>45</v>
      </c>
      <c r="F38" s="13">
        <v>5600</v>
      </c>
      <c r="G38" s="30">
        <v>0</v>
      </c>
      <c r="H38" s="36" t="s">
        <v>106</v>
      </c>
    </row>
    <row r="39" spans="1:8" x14ac:dyDescent="0.25">
      <c r="A39" s="20">
        <v>18</v>
      </c>
      <c r="B39" s="4" t="s">
        <v>31</v>
      </c>
      <c r="C39" s="15" t="s">
        <v>12</v>
      </c>
      <c r="D39" s="6" t="s">
        <v>126</v>
      </c>
      <c r="E39" s="20" t="s">
        <v>45</v>
      </c>
      <c r="F39" s="6">
        <v>560</v>
      </c>
      <c r="G39" s="73">
        <v>8.0000000000000002E-3</v>
      </c>
      <c r="H39" s="38">
        <f t="shared" si="0"/>
        <v>0.55200000000000005</v>
      </c>
    </row>
    <row r="40" spans="1:8" x14ac:dyDescent="0.25">
      <c r="A40" s="16">
        <v>19</v>
      </c>
      <c r="B40" s="9" t="s">
        <v>32</v>
      </c>
      <c r="C40" s="14" t="s">
        <v>12</v>
      </c>
      <c r="D40" s="14" t="s">
        <v>125</v>
      </c>
      <c r="E40" s="16" t="s">
        <v>45</v>
      </c>
      <c r="F40" s="14">
        <v>2500</v>
      </c>
      <c r="G40" s="28">
        <v>0</v>
      </c>
      <c r="H40" s="34" t="s">
        <v>106</v>
      </c>
    </row>
    <row r="41" spans="1:8" x14ac:dyDescent="0.25">
      <c r="A41" s="18"/>
      <c r="B41" s="12"/>
      <c r="C41" s="13" t="s">
        <v>13</v>
      </c>
      <c r="D41" s="13" t="s">
        <v>125</v>
      </c>
      <c r="E41" s="18" t="s">
        <v>45</v>
      </c>
      <c r="F41" s="13">
        <v>2500</v>
      </c>
      <c r="G41" s="30">
        <v>3.0000000000000001E-3</v>
      </c>
      <c r="H41" s="36">
        <f t="shared" si="0"/>
        <v>2.4969999999999999</v>
      </c>
    </row>
    <row r="42" spans="1:8" x14ac:dyDescent="0.25">
      <c r="A42" s="20">
        <v>20</v>
      </c>
      <c r="B42" s="4" t="s">
        <v>33</v>
      </c>
      <c r="C42" s="15" t="s">
        <v>12</v>
      </c>
      <c r="D42" s="15" t="s">
        <v>110</v>
      </c>
      <c r="E42" s="20" t="s">
        <v>45</v>
      </c>
      <c r="F42" s="15">
        <v>1600</v>
      </c>
      <c r="G42" s="73">
        <v>1.7000000000000001E-2</v>
      </c>
      <c r="H42" s="38">
        <f t="shared" si="0"/>
        <v>1.5830000000000002</v>
      </c>
    </row>
    <row r="43" spans="1:8" x14ac:dyDescent="0.25">
      <c r="A43" s="20">
        <v>21</v>
      </c>
      <c r="B43" s="4" t="s">
        <v>34</v>
      </c>
      <c r="C43" s="15" t="s">
        <v>12</v>
      </c>
      <c r="D43" s="15" t="s">
        <v>120</v>
      </c>
      <c r="E43" s="20" t="s">
        <v>45</v>
      </c>
      <c r="F43" s="15">
        <v>6300</v>
      </c>
      <c r="G43" s="32">
        <v>0.20200000000000001</v>
      </c>
      <c r="H43" s="38">
        <f t="shared" si="0"/>
        <v>6.0979999999999999</v>
      </c>
    </row>
    <row r="44" spans="1:8" ht="31.5" x14ac:dyDescent="0.25">
      <c r="A44" s="16">
        <v>22</v>
      </c>
      <c r="B44" s="9" t="s">
        <v>35</v>
      </c>
      <c r="C44" s="14" t="s">
        <v>12</v>
      </c>
      <c r="D44" s="75" t="s">
        <v>121</v>
      </c>
      <c r="E44" s="16" t="s">
        <v>45</v>
      </c>
      <c r="F44" s="14">
        <v>4000</v>
      </c>
      <c r="G44" s="28">
        <v>0.23</v>
      </c>
      <c r="H44" s="34">
        <f t="shared" si="0"/>
        <v>3.77</v>
      </c>
    </row>
    <row r="45" spans="1:8" x14ac:dyDescent="0.25">
      <c r="A45" s="18"/>
      <c r="B45" s="12"/>
      <c r="C45" s="13" t="s">
        <v>13</v>
      </c>
      <c r="D45" s="13"/>
      <c r="E45" s="18" t="s">
        <v>45</v>
      </c>
      <c r="F45" s="13">
        <v>4000</v>
      </c>
      <c r="G45" s="30">
        <v>0</v>
      </c>
      <c r="H45" s="36" t="s">
        <v>106</v>
      </c>
    </row>
    <row r="46" spans="1:8" x14ac:dyDescent="0.25">
      <c r="A46" s="16">
        <v>23</v>
      </c>
      <c r="B46" s="9" t="s">
        <v>36</v>
      </c>
      <c r="C46" s="14" t="s">
        <v>12</v>
      </c>
      <c r="D46" s="14" t="s">
        <v>122</v>
      </c>
      <c r="E46" s="16" t="s">
        <v>45</v>
      </c>
      <c r="F46" s="14">
        <v>4000</v>
      </c>
      <c r="G46" s="28">
        <v>0</v>
      </c>
      <c r="H46" s="28" t="s">
        <v>106</v>
      </c>
    </row>
    <row r="47" spans="1:8" x14ac:dyDescent="0.25">
      <c r="A47" s="18"/>
      <c r="B47" s="12"/>
      <c r="C47" s="13" t="s">
        <v>13</v>
      </c>
      <c r="D47" s="13"/>
      <c r="E47" s="18" t="s">
        <v>45</v>
      </c>
      <c r="F47" s="13">
        <v>4000</v>
      </c>
      <c r="G47" s="30">
        <v>0.13500000000000001</v>
      </c>
      <c r="H47" s="30">
        <f t="shared" si="0"/>
        <v>3.8650000000000002</v>
      </c>
    </row>
    <row r="48" spans="1:8" x14ac:dyDescent="0.25">
      <c r="A48" s="20">
        <v>24</v>
      </c>
      <c r="B48" s="4" t="s">
        <v>37</v>
      </c>
      <c r="C48" s="15" t="s">
        <v>12</v>
      </c>
      <c r="D48" s="15" t="s">
        <v>123</v>
      </c>
      <c r="E48" s="20" t="s">
        <v>46</v>
      </c>
      <c r="F48" s="15"/>
      <c r="G48" s="32">
        <v>0</v>
      </c>
      <c r="H48" s="38" t="s">
        <v>107</v>
      </c>
    </row>
    <row r="49" spans="1:8" x14ac:dyDescent="0.25">
      <c r="A49" s="20">
        <v>25</v>
      </c>
      <c r="B49" s="4" t="s">
        <v>38</v>
      </c>
      <c r="C49" s="15" t="s">
        <v>12</v>
      </c>
      <c r="D49" s="15" t="s">
        <v>124</v>
      </c>
      <c r="E49" s="20" t="s">
        <v>45</v>
      </c>
      <c r="F49" s="15">
        <v>1000</v>
      </c>
      <c r="G49" s="32">
        <v>0.10299999999999999</v>
      </c>
      <c r="H49" s="38">
        <f t="shared" si="0"/>
        <v>0.89700000000000002</v>
      </c>
    </row>
    <row r="50" spans="1:8" x14ac:dyDescent="0.25">
      <c r="A50" s="20">
        <v>26</v>
      </c>
      <c r="B50" s="4" t="s">
        <v>39</v>
      </c>
      <c r="C50" s="15" t="s">
        <v>12</v>
      </c>
      <c r="D50" s="15" t="s">
        <v>125</v>
      </c>
      <c r="E50" s="20" t="s">
        <v>41</v>
      </c>
      <c r="F50" s="15">
        <v>2500</v>
      </c>
      <c r="G50" s="32">
        <v>0</v>
      </c>
      <c r="H50" s="38" t="s">
        <v>106</v>
      </c>
    </row>
    <row r="52" spans="1:8" x14ac:dyDescent="0.25">
      <c r="A52" s="115" t="s">
        <v>48</v>
      </c>
      <c r="B52" s="115"/>
      <c r="C52" s="115"/>
      <c r="D52" s="115"/>
      <c r="E52" s="115"/>
      <c r="F52" s="115"/>
      <c r="G52" s="115"/>
      <c r="H52" s="115"/>
    </row>
    <row r="54" spans="1:8" ht="63" x14ac:dyDescent="0.25">
      <c r="A54" s="3" t="s">
        <v>4</v>
      </c>
      <c r="B54" s="3" t="s">
        <v>49</v>
      </c>
      <c r="C54" s="3" t="s">
        <v>50</v>
      </c>
      <c r="D54" s="3" t="s">
        <v>51</v>
      </c>
      <c r="E54" s="3" t="s">
        <v>8</v>
      </c>
      <c r="F54" s="3" t="s">
        <v>52</v>
      </c>
      <c r="G54" s="27" t="s">
        <v>129</v>
      </c>
      <c r="H54" s="27" t="s">
        <v>10</v>
      </c>
    </row>
    <row r="55" spans="1:8" x14ac:dyDescent="0.25">
      <c r="A55" s="20"/>
      <c r="B55" s="40" t="s">
        <v>53</v>
      </c>
      <c r="C55" s="4"/>
      <c r="D55" s="15"/>
      <c r="E55" s="40"/>
      <c r="F55" s="15"/>
      <c r="G55" s="32"/>
      <c r="H55" s="38"/>
    </row>
    <row r="56" spans="1:8" x14ac:dyDescent="0.25">
      <c r="A56" s="16">
        <v>1</v>
      </c>
      <c r="B56" s="9" t="s">
        <v>54</v>
      </c>
      <c r="C56" s="56">
        <v>3.3</v>
      </c>
      <c r="D56" s="64">
        <v>120</v>
      </c>
      <c r="E56" s="42">
        <v>110</v>
      </c>
      <c r="F56" s="43">
        <f>1.73*115*330/1000</f>
        <v>65.653499999999994</v>
      </c>
      <c r="G56" s="28">
        <v>0.38900000000000001</v>
      </c>
      <c r="H56" s="43">
        <f>F56-G56</f>
        <v>65.264499999999998</v>
      </c>
    </row>
    <row r="57" spans="1:8" x14ac:dyDescent="0.25">
      <c r="A57" s="17">
        <v>2</v>
      </c>
      <c r="B57" s="10" t="s">
        <v>55</v>
      </c>
      <c r="C57" s="57">
        <v>217.4</v>
      </c>
      <c r="D57" s="65">
        <v>150</v>
      </c>
      <c r="E57" s="45">
        <v>110</v>
      </c>
      <c r="F57" s="46">
        <f>1.73*115*445/1000</f>
        <v>88.532749999999993</v>
      </c>
      <c r="G57" s="29">
        <v>3.4540000000000002</v>
      </c>
      <c r="H57" s="46">
        <f t="shared" ref="H57:H108" si="1">F57-G57</f>
        <v>85.078749999999999</v>
      </c>
    </row>
    <row r="58" spans="1:8" x14ac:dyDescent="0.25">
      <c r="A58" s="17">
        <v>3</v>
      </c>
      <c r="B58" s="10" t="s">
        <v>56</v>
      </c>
      <c r="C58" s="57">
        <v>217.4</v>
      </c>
      <c r="D58" s="65">
        <v>150</v>
      </c>
      <c r="E58" s="45">
        <v>110</v>
      </c>
      <c r="F58" s="46">
        <f>1.73*115*445/1000</f>
        <v>88.532749999999993</v>
      </c>
      <c r="G58" s="29">
        <v>0.55300000000000005</v>
      </c>
      <c r="H58" s="46">
        <f t="shared" si="1"/>
        <v>87.979749999999996</v>
      </c>
    </row>
    <row r="59" spans="1:8" x14ac:dyDescent="0.25">
      <c r="A59" s="17">
        <v>4</v>
      </c>
      <c r="B59" s="10" t="s">
        <v>57</v>
      </c>
      <c r="C59" s="58">
        <v>17.3</v>
      </c>
      <c r="D59" s="65" t="s">
        <v>109</v>
      </c>
      <c r="E59" s="45">
        <v>110</v>
      </c>
      <c r="F59" s="46">
        <f>1.73*115*445/1000</f>
        <v>88.532749999999993</v>
      </c>
      <c r="G59" s="29">
        <v>4.3319999999999999</v>
      </c>
      <c r="H59" s="46">
        <f t="shared" si="1"/>
        <v>84.200749999999999</v>
      </c>
    </row>
    <row r="60" spans="1:8" x14ac:dyDescent="0.25">
      <c r="A60" s="17">
        <v>5</v>
      </c>
      <c r="B60" s="10" t="s">
        <v>58</v>
      </c>
      <c r="C60" s="57">
        <v>17.3</v>
      </c>
      <c r="D60" s="65" t="s">
        <v>109</v>
      </c>
      <c r="E60" s="45">
        <v>110</v>
      </c>
      <c r="F60" s="46">
        <f>1.73*115*445/1000</f>
        <v>88.532749999999993</v>
      </c>
      <c r="G60" s="29">
        <v>3.222</v>
      </c>
      <c r="H60" s="46">
        <f t="shared" si="1"/>
        <v>85.310749999999999</v>
      </c>
    </row>
    <row r="61" spans="1:8" x14ac:dyDescent="0.25">
      <c r="A61" s="17">
        <v>6</v>
      </c>
      <c r="B61" s="10" t="s">
        <v>59</v>
      </c>
      <c r="C61" s="57">
        <v>47.1</v>
      </c>
      <c r="D61" s="65">
        <v>120</v>
      </c>
      <c r="E61" s="45">
        <v>110</v>
      </c>
      <c r="F61" s="46">
        <f>1.73*115*445/1000</f>
        <v>88.532749999999993</v>
      </c>
      <c r="G61" s="29">
        <v>1.0660000000000001</v>
      </c>
      <c r="H61" s="46">
        <f t="shared" si="1"/>
        <v>87.46674999999999</v>
      </c>
    </row>
    <row r="62" spans="1:8" x14ac:dyDescent="0.25">
      <c r="A62" s="17">
        <v>7</v>
      </c>
      <c r="B62" s="10" t="s">
        <v>60</v>
      </c>
      <c r="C62" s="57">
        <v>36.9</v>
      </c>
      <c r="D62" s="65">
        <v>120</v>
      </c>
      <c r="E62" s="45">
        <v>110</v>
      </c>
      <c r="F62" s="46">
        <f>1.73*115*380/1000</f>
        <v>75.600999999999999</v>
      </c>
      <c r="G62" s="29">
        <v>2.8879999999999999</v>
      </c>
      <c r="H62" s="46">
        <f t="shared" si="1"/>
        <v>72.712999999999994</v>
      </c>
    </row>
    <row r="63" spans="1:8" x14ac:dyDescent="0.25">
      <c r="A63" s="17">
        <v>8</v>
      </c>
      <c r="B63" s="10" t="s">
        <v>61</v>
      </c>
      <c r="C63" s="58">
        <v>39.32</v>
      </c>
      <c r="D63" s="65">
        <v>185</v>
      </c>
      <c r="E63" s="45">
        <v>110</v>
      </c>
      <c r="F63" s="46">
        <f>1.73*115*510/1000</f>
        <v>101.4645</v>
      </c>
      <c r="G63" s="29">
        <v>8.375</v>
      </c>
      <c r="H63" s="46">
        <f t="shared" si="1"/>
        <v>93.089500000000001</v>
      </c>
    </row>
    <row r="64" spans="1:8" x14ac:dyDescent="0.25">
      <c r="A64" s="17">
        <v>9</v>
      </c>
      <c r="B64" s="10" t="s">
        <v>105</v>
      </c>
      <c r="C64" s="57">
        <v>172.4</v>
      </c>
      <c r="D64" s="65">
        <v>185</v>
      </c>
      <c r="E64" s="45">
        <v>110</v>
      </c>
      <c r="F64" s="46">
        <f>1.73*115*510/1000</f>
        <v>101.4645</v>
      </c>
      <c r="G64" s="29">
        <v>2.9849999999999999</v>
      </c>
      <c r="H64" s="46">
        <f t="shared" si="1"/>
        <v>98.479500000000002</v>
      </c>
    </row>
    <row r="65" spans="1:8" x14ac:dyDescent="0.25">
      <c r="A65" s="17">
        <v>10</v>
      </c>
      <c r="B65" s="10" t="s">
        <v>62</v>
      </c>
      <c r="C65" s="57">
        <v>3.35</v>
      </c>
      <c r="D65" s="65">
        <v>120</v>
      </c>
      <c r="E65" s="45">
        <v>110</v>
      </c>
      <c r="F65" s="46">
        <f>1.73*115*380/1000</f>
        <v>75.600999999999999</v>
      </c>
      <c r="G65" s="29">
        <v>9.2040000000000006</v>
      </c>
      <c r="H65" s="46">
        <f>F65-G65</f>
        <v>66.396999999999991</v>
      </c>
    </row>
    <row r="66" spans="1:8" x14ac:dyDescent="0.25">
      <c r="A66" s="18">
        <v>11</v>
      </c>
      <c r="B66" s="12" t="s">
        <v>63</v>
      </c>
      <c r="C66" s="59">
        <v>19</v>
      </c>
      <c r="D66" s="66">
        <v>35</v>
      </c>
      <c r="E66" s="48">
        <v>35</v>
      </c>
      <c r="F66" s="49">
        <f>1.73*37*175/1000</f>
        <v>11.201750000000001</v>
      </c>
      <c r="G66" s="30">
        <v>0.17299999999999999</v>
      </c>
      <c r="H66" s="49">
        <f t="shared" si="1"/>
        <v>11.02875</v>
      </c>
    </row>
    <row r="67" spans="1:8" x14ac:dyDescent="0.25">
      <c r="A67" s="20"/>
      <c r="B67" s="80" t="s">
        <v>64</v>
      </c>
      <c r="C67" s="60"/>
      <c r="D67" s="67"/>
      <c r="E67" s="40"/>
      <c r="F67" s="50"/>
      <c r="G67" s="32"/>
      <c r="H67" s="50"/>
    </row>
    <row r="68" spans="1:8" x14ac:dyDescent="0.25">
      <c r="A68" s="16">
        <v>12</v>
      </c>
      <c r="B68" s="9" t="s">
        <v>65</v>
      </c>
      <c r="C68" s="61">
        <v>89.5</v>
      </c>
      <c r="D68" s="64">
        <v>120</v>
      </c>
      <c r="E68" s="42">
        <v>110</v>
      </c>
      <c r="F68" s="43">
        <f>1.73*115*380/1000</f>
        <v>75.600999999999999</v>
      </c>
      <c r="G68" s="28">
        <v>0.06</v>
      </c>
      <c r="H68" s="43">
        <f t="shared" si="1"/>
        <v>75.540999999999997</v>
      </c>
    </row>
    <row r="69" spans="1:8" x14ac:dyDescent="0.25">
      <c r="A69" s="17">
        <v>13</v>
      </c>
      <c r="B69" s="10" t="s">
        <v>66</v>
      </c>
      <c r="C69" s="57">
        <v>118.61</v>
      </c>
      <c r="D69" s="65">
        <v>120</v>
      </c>
      <c r="E69" s="45">
        <v>110</v>
      </c>
      <c r="F69" s="46">
        <f>1.73*115*380/1000</f>
        <v>75.600999999999999</v>
      </c>
      <c r="G69" s="29">
        <v>0</v>
      </c>
      <c r="H69" s="53" t="s">
        <v>106</v>
      </c>
    </row>
    <row r="70" spans="1:8" x14ac:dyDescent="0.25">
      <c r="A70" s="18">
        <v>14</v>
      </c>
      <c r="B70" s="12" t="s">
        <v>67</v>
      </c>
      <c r="C70" s="59">
        <v>90.5</v>
      </c>
      <c r="D70" s="66">
        <v>120</v>
      </c>
      <c r="E70" s="48">
        <v>110</v>
      </c>
      <c r="F70" s="49">
        <f>1.73*115*380/1000</f>
        <v>75.600999999999999</v>
      </c>
      <c r="G70" s="30">
        <v>0.73399999999999999</v>
      </c>
      <c r="H70" s="49">
        <f t="shared" si="1"/>
        <v>74.867000000000004</v>
      </c>
    </row>
    <row r="71" spans="1:8" x14ac:dyDescent="0.25">
      <c r="A71" s="20"/>
      <c r="B71" s="80" t="s">
        <v>68</v>
      </c>
      <c r="C71" s="62"/>
      <c r="D71" s="67"/>
      <c r="E71" s="40"/>
      <c r="F71" s="50"/>
      <c r="G71" s="32"/>
      <c r="H71" s="50"/>
    </row>
    <row r="72" spans="1:8" x14ac:dyDescent="0.25">
      <c r="A72" s="16">
        <v>15</v>
      </c>
      <c r="B72" s="9" t="s">
        <v>69</v>
      </c>
      <c r="C72" s="56">
        <v>51</v>
      </c>
      <c r="D72" s="64">
        <v>185</v>
      </c>
      <c r="E72" s="42">
        <v>110</v>
      </c>
      <c r="F72" s="43">
        <f>1.73*115*510/1000</f>
        <v>101.4645</v>
      </c>
      <c r="G72" s="28">
        <v>2.8490000000000002</v>
      </c>
      <c r="H72" s="43">
        <f t="shared" si="1"/>
        <v>98.615499999999997</v>
      </c>
    </row>
    <row r="73" spans="1:8" x14ac:dyDescent="0.25">
      <c r="A73" s="18">
        <v>16</v>
      </c>
      <c r="B73" s="12" t="s">
        <v>70</v>
      </c>
      <c r="C73" s="63">
        <v>2.2599999999999998</v>
      </c>
      <c r="D73" s="66">
        <v>70</v>
      </c>
      <c r="E73" s="48">
        <v>35</v>
      </c>
      <c r="F73" s="49">
        <f>1.73*37*265/1000</f>
        <v>16.96265</v>
      </c>
      <c r="G73" s="30">
        <v>1.4139999999999999</v>
      </c>
      <c r="H73" s="49">
        <f t="shared" si="1"/>
        <v>15.54865</v>
      </c>
    </row>
    <row r="74" spans="1:8" x14ac:dyDescent="0.25">
      <c r="A74" s="20"/>
      <c r="B74" s="80" t="s">
        <v>71</v>
      </c>
      <c r="C74" s="60"/>
      <c r="D74" s="67"/>
      <c r="E74" s="40"/>
      <c r="F74" s="50"/>
      <c r="G74" s="32"/>
      <c r="H74" s="50"/>
    </row>
    <row r="75" spans="1:8" x14ac:dyDescent="0.25">
      <c r="A75" s="16">
        <v>17</v>
      </c>
      <c r="B75" s="9" t="s">
        <v>72</v>
      </c>
      <c r="C75" s="56">
        <v>30</v>
      </c>
      <c r="D75" s="64">
        <v>95</v>
      </c>
      <c r="E75" s="42">
        <v>35</v>
      </c>
      <c r="F75" s="43">
        <f>1.73*37*330/1000</f>
        <v>21.123300000000004</v>
      </c>
      <c r="G75" s="28">
        <v>3.1E-2</v>
      </c>
      <c r="H75" s="43">
        <f t="shared" si="1"/>
        <v>21.092300000000005</v>
      </c>
    </row>
    <row r="76" spans="1:8" x14ac:dyDescent="0.25">
      <c r="A76" s="17">
        <v>18</v>
      </c>
      <c r="B76" s="10" t="s">
        <v>73</v>
      </c>
      <c r="C76" s="57">
        <v>53.3</v>
      </c>
      <c r="D76" s="65">
        <v>70</v>
      </c>
      <c r="E76" s="45">
        <v>35</v>
      </c>
      <c r="F76" s="46">
        <f>1.73*37*265/1000</f>
        <v>16.96265</v>
      </c>
      <c r="G76" s="29">
        <v>1.407</v>
      </c>
      <c r="H76" s="46">
        <f t="shared" si="1"/>
        <v>15.55565</v>
      </c>
    </row>
    <row r="77" spans="1:8" x14ac:dyDescent="0.25">
      <c r="A77" s="17">
        <v>19</v>
      </c>
      <c r="B77" s="10" t="s">
        <v>74</v>
      </c>
      <c r="C77" s="58">
        <v>30.9</v>
      </c>
      <c r="D77" s="65">
        <v>70</v>
      </c>
      <c r="E77" s="45">
        <v>35</v>
      </c>
      <c r="F77" s="46">
        <f>1.73*37*265/1000</f>
        <v>16.96265</v>
      </c>
      <c r="G77" s="29">
        <v>0</v>
      </c>
      <c r="H77" s="53" t="s">
        <v>106</v>
      </c>
    </row>
    <row r="78" spans="1:8" x14ac:dyDescent="0.25">
      <c r="A78" s="17">
        <v>20</v>
      </c>
      <c r="B78" s="10" t="s">
        <v>75</v>
      </c>
      <c r="C78" s="57">
        <v>33.14</v>
      </c>
      <c r="D78" s="65">
        <v>70</v>
      </c>
      <c r="E78" s="45">
        <v>35</v>
      </c>
      <c r="F78" s="46">
        <f>1.73*37*265/1000</f>
        <v>16.96265</v>
      </c>
      <c r="G78" s="29">
        <v>0</v>
      </c>
      <c r="H78" s="53" t="s">
        <v>106</v>
      </c>
    </row>
    <row r="79" spans="1:8" x14ac:dyDescent="0.25">
      <c r="A79" s="18">
        <v>21</v>
      </c>
      <c r="B79" s="12" t="s">
        <v>76</v>
      </c>
      <c r="C79" s="63">
        <v>44.5</v>
      </c>
      <c r="D79" s="66">
        <v>95</v>
      </c>
      <c r="E79" s="48">
        <v>35</v>
      </c>
      <c r="F79" s="49">
        <f>1.73*37*330/1000</f>
        <v>21.123300000000004</v>
      </c>
      <c r="G79" s="30">
        <v>7.0000000000000007E-2</v>
      </c>
      <c r="H79" s="49">
        <f t="shared" si="1"/>
        <v>21.053300000000004</v>
      </c>
    </row>
    <row r="80" spans="1:8" x14ac:dyDescent="0.25">
      <c r="A80" s="20"/>
      <c r="B80" s="80" t="s">
        <v>77</v>
      </c>
      <c r="C80" s="62"/>
      <c r="D80" s="67"/>
      <c r="E80" s="40"/>
      <c r="F80" s="50"/>
      <c r="G80" s="32"/>
      <c r="H80" s="50"/>
    </row>
    <row r="81" spans="1:8" x14ac:dyDescent="0.25">
      <c r="A81" s="20">
        <v>22</v>
      </c>
      <c r="B81" s="4" t="s">
        <v>78</v>
      </c>
      <c r="C81" s="60">
        <v>15.4</v>
      </c>
      <c r="D81" s="67">
        <v>95</v>
      </c>
      <c r="E81" s="51">
        <v>35</v>
      </c>
      <c r="F81" s="52">
        <f>1.73*37*330/1000</f>
        <v>21.123300000000004</v>
      </c>
      <c r="G81" s="32">
        <v>0</v>
      </c>
      <c r="H81" s="54" t="s">
        <v>106</v>
      </c>
    </row>
    <row r="82" spans="1:8" x14ac:dyDescent="0.25">
      <c r="A82" s="20"/>
      <c r="B82" s="80" t="s">
        <v>79</v>
      </c>
      <c r="C82" s="62"/>
      <c r="D82" s="67"/>
      <c r="E82" s="40"/>
      <c r="F82" s="50"/>
      <c r="G82" s="32"/>
      <c r="H82" s="50"/>
    </row>
    <row r="83" spans="1:8" x14ac:dyDescent="0.25">
      <c r="A83" s="20">
        <v>23</v>
      </c>
      <c r="B83" s="4" t="s">
        <v>80</v>
      </c>
      <c r="C83" s="60">
        <v>4</v>
      </c>
      <c r="D83" s="67">
        <v>95</v>
      </c>
      <c r="E83" s="51">
        <v>110</v>
      </c>
      <c r="F83" s="52">
        <f>1.73*115*330/1000</f>
        <v>65.653499999999994</v>
      </c>
      <c r="G83" s="32">
        <v>0</v>
      </c>
      <c r="H83" s="54" t="s">
        <v>106</v>
      </c>
    </row>
    <row r="84" spans="1:8" x14ac:dyDescent="0.25">
      <c r="A84" s="20"/>
      <c r="B84" s="80" t="s">
        <v>81</v>
      </c>
      <c r="C84" s="62"/>
      <c r="D84" s="67"/>
      <c r="E84" s="40"/>
      <c r="F84" s="50"/>
      <c r="G84" s="32"/>
      <c r="H84" s="50"/>
    </row>
    <row r="85" spans="1:8" x14ac:dyDescent="0.25">
      <c r="A85" s="16">
        <v>24</v>
      </c>
      <c r="B85" s="9" t="s">
        <v>66</v>
      </c>
      <c r="C85" s="56">
        <v>118.61</v>
      </c>
      <c r="D85" s="64">
        <v>120</v>
      </c>
      <c r="E85" s="42">
        <v>110</v>
      </c>
      <c r="F85" s="43">
        <f>1.73*115*380/1000</f>
        <v>75.600999999999999</v>
      </c>
      <c r="G85" s="28">
        <v>0.89700000000000002</v>
      </c>
      <c r="H85" s="43">
        <f t="shared" si="1"/>
        <v>74.703999999999994</v>
      </c>
    </row>
    <row r="86" spans="1:8" x14ac:dyDescent="0.25">
      <c r="A86" s="17">
        <v>25</v>
      </c>
      <c r="B86" s="10" t="s">
        <v>82</v>
      </c>
      <c r="C86" s="57">
        <v>48.3</v>
      </c>
      <c r="D86" s="65">
        <v>185</v>
      </c>
      <c r="E86" s="45">
        <v>110</v>
      </c>
      <c r="F86" s="46">
        <f>1.73*115*510/1000</f>
        <v>101.4645</v>
      </c>
      <c r="G86" s="29">
        <v>5.9530000000000003</v>
      </c>
      <c r="H86" s="46">
        <f t="shared" si="1"/>
        <v>95.511499999999998</v>
      </c>
    </row>
    <row r="87" spans="1:8" x14ac:dyDescent="0.25">
      <c r="A87" s="18">
        <v>26</v>
      </c>
      <c r="B87" s="12" t="s">
        <v>83</v>
      </c>
      <c r="C87" s="63">
        <v>30.5</v>
      </c>
      <c r="D87" s="66">
        <v>50</v>
      </c>
      <c r="E87" s="48">
        <v>35</v>
      </c>
      <c r="F87" s="49">
        <f>1.73*37*210/1000</f>
        <v>13.4421</v>
      </c>
      <c r="G87" s="30">
        <v>1.302</v>
      </c>
      <c r="H87" s="49">
        <f t="shared" si="1"/>
        <v>12.1401</v>
      </c>
    </row>
    <row r="88" spans="1:8" x14ac:dyDescent="0.25">
      <c r="A88" s="20"/>
      <c r="B88" s="80" t="s">
        <v>84</v>
      </c>
      <c r="C88" s="60"/>
      <c r="D88" s="67"/>
      <c r="E88" s="40"/>
      <c r="F88" s="50"/>
      <c r="G88" s="32"/>
      <c r="H88" s="50"/>
    </row>
    <row r="89" spans="1:8" x14ac:dyDescent="0.25">
      <c r="A89" s="16">
        <v>27</v>
      </c>
      <c r="B89" s="9" t="s">
        <v>85</v>
      </c>
      <c r="C89" s="56">
        <v>38.4</v>
      </c>
      <c r="D89" s="64">
        <v>120</v>
      </c>
      <c r="E89" s="42">
        <v>110</v>
      </c>
      <c r="F89" s="43">
        <f>1.73*115*380/1000</f>
        <v>75.600999999999999</v>
      </c>
      <c r="G89" s="28">
        <v>5.2130000000000001</v>
      </c>
      <c r="H89" s="43">
        <f t="shared" si="1"/>
        <v>70.388000000000005</v>
      </c>
    </row>
    <row r="90" spans="1:8" x14ac:dyDescent="0.25">
      <c r="A90" s="18">
        <v>28</v>
      </c>
      <c r="B90" s="12" t="s">
        <v>86</v>
      </c>
      <c r="C90" s="59">
        <v>1.6</v>
      </c>
      <c r="D90" s="66">
        <v>70</v>
      </c>
      <c r="E90" s="48">
        <v>35</v>
      </c>
      <c r="F90" s="49">
        <f>1.73*37*265/1000</f>
        <v>16.96265</v>
      </c>
      <c r="G90" s="55">
        <v>0</v>
      </c>
      <c r="H90" s="77" t="s">
        <v>106</v>
      </c>
    </row>
    <row r="91" spans="1:8" x14ac:dyDescent="0.25">
      <c r="A91" s="20"/>
      <c r="B91" s="80" t="s">
        <v>87</v>
      </c>
      <c r="C91" s="62"/>
      <c r="D91" s="67"/>
      <c r="E91" s="40"/>
      <c r="F91" s="50"/>
      <c r="G91" s="32"/>
      <c r="H91" s="50"/>
    </row>
    <row r="92" spans="1:8" x14ac:dyDescent="0.25">
      <c r="A92" s="20">
        <v>29</v>
      </c>
      <c r="B92" s="4" t="s">
        <v>88</v>
      </c>
      <c r="C92" s="60">
        <v>45.2</v>
      </c>
      <c r="D92" s="67">
        <v>70</v>
      </c>
      <c r="E92" s="51">
        <v>35</v>
      </c>
      <c r="F92" s="52">
        <f>1.73*37*265/1000</f>
        <v>16.96265</v>
      </c>
      <c r="G92" s="32">
        <v>0.13400000000000001</v>
      </c>
      <c r="H92" s="52">
        <f t="shared" si="1"/>
        <v>16.82865</v>
      </c>
    </row>
    <row r="93" spans="1:8" x14ac:dyDescent="0.25">
      <c r="A93" s="20"/>
      <c r="B93" s="80" t="s">
        <v>89</v>
      </c>
      <c r="C93" s="62"/>
      <c r="D93" s="67"/>
      <c r="E93" s="40"/>
      <c r="F93" s="50"/>
      <c r="G93" s="32"/>
      <c r="H93" s="50"/>
    </row>
    <row r="94" spans="1:8" x14ac:dyDescent="0.25">
      <c r="A94" s="20">
        <v>30</v>
      </c>
      <c r="B94" s="4" t="s">
        <v>90</v>
      </c>
      <c r="C94" s="60">
        <v>65</v>
      </c>
      <c r="D94" s="67" t="s">
        <v>108</v>
      </c>
      <c r="E94" s="51">
        <v>35</v>
      </c>
      <c r="F94" s="52">
        <f>1.73*37*265/1000</f>
        <v>16.96265</v>
      </c>
      <c r="G94" s="32">
        <v>0.60599999999999998</v>
      </c>
      <c r="H94" s="52">
        <f t="shared" si="1"/>
        <v>16.356649999999998</v>
      </c>
    </row>
    <row r="95" spans="1:8" x14ac:dyDescent="0.25">
      <c r="A95" s="20"/>
      <c r="B95" s="80" t="s">
        <v>91</v>
      </c>
      <c r="C95" s="60"/>
      <c r="D95" s="67"/>
      <c r="E95" s="40"/>
      <c r="F95" s="50"/>
      <c r="G95" s="32"/>
      <c r="H95" s="50"/>
    </row>
    <row r="96" spans="1:8" x14ac:dyDescent="0.25">
      <c r="A96" s="16">
        <v>31</v>
      </c>
      <c r="B96" s="9" t="s">
        <v>92</v>
      </c>
      <c r="C96" s="56">
        <v>71.2</v>
      </c>
      <c r="D96" s="64">
        <v>70</v>
      </c>
      <c r="E96" s="42">
        <v>35</v>
      </c>
      <c r="F96" s="43">
        <f>1.73*37*265/1000</f>
        <v>16.96265</v>
      </c>
      <c r="G96" s="79">
        <v>5.0000000000000001E-3</v>
      </c>
      <c r="H96" s="43">
        <f t="shared" si="1"/>
        <v>16.957650000000001</v>
      </c>
    </row>
    <row r="97" spans="1:8" x14ac:dyDescent="0.25">
      <c r="A97" s="18">
        <v>32</v>
      </c>
      <c r="B97" s="12" t="s">
        <v>93</v>
      </c>
      <c r="C97" s="81">
        <v>38.6</v>
      </c>
      <c r="D97" s="68">
        <v>95</v>
      </c>
      <c r="E97" s="48">
        <v>35</v>
      </c>
      <c r="F97" s="49">
        <f>1.73*37*330/1000</f>
        <v>21.123300000000004</v>
      </c>
      <c r="G97" s="55">
        <v>1.7999999999999999E-2</v>
      </c>
      <c r="H97" s="49">
        <f t="shared" si="1"/>
        <v>21.105300000000003</v>
      </c>
    </row>
    <row r="98" spans="1:8" x14ac:dyDescent="0.25">
      <c r="A98" s="20"/>
      <c r="B98" s="80" t="s">
        <v>94</v>
      </c>
      <c r="C98" s="82"/>
      <c r="D98" s="69"/>
      <c r="E98" s="40"/>
      <c r="F98" s="50"/>
      <c r="G98" s="32"/>
      <c r="H98" s="50"/>
    </row>
    <row r="99" spans="1:8" x14ac:dyDescent="0.25">
      <c r="A99" s="20">
        <v>33</v>
      </c>
      <c r="B99" s="4" t="s">
        <v>95</v>
      </c>
      <c r="C99" s="82">
        <v>17.7</v>
      </c>
      <c r="D99" s="69">
        <v>70</v>
      </c>
      <c r="E99" s="51">
        <v>35</v>
      </c>
      <c r="F99" s="52">
        <f>1.73*37*265/1000</f>
        <v>16.96265</v>
      </c>
      <c r="G99" s="73">
        <v>8.0000000000000002E-3</v>
      </c>
      <c r="H99" s="52">
        <f t="shared" si="1"/>
        <v>16.954650000000001</v>
      </c>
    </row>
    <row r="100" spans="1:8" x14ac:dyDescent="0.25">
      <c r="A100" s="20"/>
      <c r="B100" s="80" t="s">
        <v>96</v>
      </c>
      <c r="C100" s="82"/>
      <c r="D100" s="69"/>
      <c r="E100" s="40"/>
      <c r="F100" s="50"/>
      <c r="G100" s="32"/>
      <c r="H100" s="50"/>
    </row>
    <row r="101" spans="1:8" x14ac:dyDescent="0.25">
      <c r="A101" s="20">
        <v>34</v>
      </c>
      <c r="B101" s="4" t="s">
        <v>97</v>
      </c>
      <c r="C101" s="82">
        <v>19.5</v>
      </c>
      <c r="D101" s="69">
        <v>95</v>
      </c>
      <c r="E101" s="51">
        <v>35</v>
      </c>
      <c r="F101" s="52">
        <f>1.73*37*330/1000</f>
        <v>21.123300000000004</v>
      </c>
      <c r="G101" s="32">
        <v>0.46</v>
      </c>
      <c r="H101" s="52">
        <f t="shared" si="1"/>
        <v>20.663300000000003</v>
      </c>
    </row>
    <row r="102" spans="1:8" x14ac:dyDescent="0.25">
      <c r="A102" s="20"/>
      <c r="B102" s="80" t="s">
        <v>98</v>
      </c>
      <c r="C102" s="82"/>
      <c r="D102" s="69"/>
      <c r="E102" s="40"/>
      <c r="F102" s="50"/>
      <c r="G102" s="32"/>
      <c r="H102" s="50"/>
    </row>
    <row r="103" spans="1:8" x14ac:dyDescent="0.25">
      <c r="A103" s="16">
        <v>35</v>
      </c>
      <c r="B103" s="9" t="s">
        <v>99</v>
      </c>
      <c r="C103" s="83">
        <v>28.96</v>
      </c>
      <c r="D103" s="70">
        <v>70</v>
      </c>
      <c r="E103" s="42">
        <v>35</v>
      </c>
      <c r="F103" s="43">
        <f>1.73*37*265/1000</f>
        <v>16.96265</v>
      </c>
      <c r="G103" s="28">
        <v>3.5999999999999997E-2</v>
      </c>
      <c r="H103" s="43">
        <f t="shared" si="1"/>
        <v>16.926649999999999</v>
      </c>
    </row>
    <row r="104" spans="1:8" x14ac:dyDescent="0.25">
      <c r="A104" s="17">
        <v>36</v>
      </c>
      <c r="B104" s="10" t="s">
        <v>100</v>
      </c>
      <c r="C104" s="84">
        <v>15</v>
      </c>
      <c r="D104" s="71">
        <v>70</v>
      </c>
      <c r="E104" s="45">
        <v>35</v>
      </c>
      <c r="F104" s="46">
        <f>1.73*37*265/1000</f>
        <v>16.96265</v>
      </c>
      <c r="G104" s="29">
        <v>0.08</v>
      </c>
      <c r="H104" s="46">
        <f t="shared" si="1"/>
        <v>16.882650000000002</v>
      </c>
    </row>
    <row r="105" spans="1:8" x14ac:dyDescent="0.25">
      <c r="A105" s="18">
        <v>37</v>
      </c>
      <c r="B105" s="12" t="s">
        <v>101</v>
      </c>
      <c r="C105" s="81">
        <v>35.26</v>
      </c>
      <c r="D105" s="68">
        <v>70</v>
      </c>
      <c r="E105" s="48">
        <v>35</v>
      </c>
      <c r="F105" s="49">
        <f>1.73*37*265/1000</f>
        <v>16.96265</v>
      </c>
      <c r="G105" s="30">
        <v>0.28000000000000003</v>
      </c>
      <c r="H105" s="49">
        <f t="shared" si="1"/>
        <v>16.682649999999999</v>
      </c>
    </row>
    <row r="106" spans="1:8" x14ac:dyDescent="0.25">
      <c r="A106" s="20"/>
      <c r="B106" s="80" t="s">
        <v>102</v>
      </c>
      <c r="C106" s="82"/>
      <c r="D106" s="69"/>
      <c r="E106" s="40"/>
      <c r="F106" s="50"/>
      <c r="G106" s="32"/>
      <c r="H106" s="50"/>
    </row>
    <row r="107" spans="1:8" x14ac:dyDescent="0.25">
      <c r="A107" s="16">
        <v>38</v>
      </c>
      <c r="B107" s="9" t="s">
        <v>103</v>
      </c>
      <c r="C107" s="83">
        <v>40.75</v>
      </c>
      <c r="D107" s="70">
        <v>70</v>
      </c>
      <c r="E107" s="42">
        <v>35</v>
      </c>
      <c r="F107" s="43">
        <f>1.73*37*265/1000</f>
        <v>16.96265</v>
      </c>
      <c r="G107" s="28">
        <v>0.16200000000000001</v>
      </c>
      <c r="H107" s="43">
        <f t="shared" si="1"/>
        <v>16.800650000000001</v>
      </c>
    </row>
    <row r="108" spans="1:8" x14ac:dyDescent="0.25">
      <c r="A108" s="18">
        <v>39</v>
      </c>
      <c r="B108" s="12" t="s">
        <v>104</v>
      </c>
      <c r="C108" s="81">
        <v>38.14</v>
      </c>
      <c r="D108" s="68">
        <v>120</v>
      </c>
      <c r="E108" s="48">
        <v>35</v>
      </c>
      <c r="F108" s="49">
        <f>1.73*37*380/1000</f>
        <v>24.323800000000002</v>
      </c>
      <c r="G108" s="30">
        <v>0.113</v>
      </c>
      <c r="H108" s="49">
        <f t="shared" si="1"/>
        <v>24.210800000000003</v>
      </c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7"/>
  <sheetViews>
    <sheetView workbookViewId="0">
      <selection activeCell="A2" sqref="A2:H2"/>
    </sheetView>
  </sheetViews>
  <sheetFormatPr defaultRowHeight="15.75" x14ac:dyDescent="0.25"/>
  <cols>
    <col min="1" max="1" width="5.28515625" style="21" customWidth="1"/>
    <col min="2" max="2" width="20.5703125" style="1" bestFit="1" customWidth="1"/>
    <col min="3" max="3" width="11.5703125" style="1" customWidth="1"/>
    <col min="4" max="4" width="21" style="1" customWidth="1"/>
    <col min="5" max="5" width="14" style="21" customWidth="1"/>
    <col min="6" max="6" width="18.28515625" style="1" customWidth="1"/>
    <col min="7" max="7" width="11.7109375" style="33" customWidth="1"/>
    <col min="8" max="8" width="17.28515625" style="39" bestFit="1" customWidth="1"/>
    <col min="9" max="16384" width="9.140625" style="1"/>
  </cols>
  <sheetData>
    <row r="1" spans="1:11" x14ac:dyDescent="0.25">
      <c r="A1" s="115" t="s">
        <v>0</v>
      </c>
      <c r="B1" s="115"/>
      <c r="C1" s="115"/>
      <c r="D1" s="115"/>
      <c r="E1" s="115"/>
      <c r="F1" s="115"/>
      <c r="G1" s="115"/>
      <c r="H1" s="115"/>
    </row>
    <row r="2" spans="1:11" x14ac:dyDescent="0.25">
      <c r="A2" s="115" t="s">
        <v>1</v>
      </c>
      <c r="B2" s="115"/>
      <c r="C2" s="115"/>
      <c r="D2" s="115"/>
      <c r="E2" s="115"/>
      <c r="F2" s="115"/>
      <c r="G2" s="115"/>
      <c r="H2" s="115"/>
    </row>
    <row r="4" spans="1:11" x14ac:dyDescent="0.25">
      <c r="A4" s="115" t="s">
        <v>2</v>
      </c>
      <c r="B4" s="115"/>
      <c r="C4" s="115"/>
      <c r="D4" s="115"/>
      <c r="E4" s="115"/>
      <c r="F4" s="115"/>
      <c r="G4" s="115"/>
      <c r="H4" s="115"/>
    </row>
    <row r="6" spans="1:11" x14ac:dyDescent="0.25">
      <c r="A6" s="116" t="s">
        <v>3</v>
      </c>
      <c r="B6" s="116"/>
      <c r="C6" s="116"/>
      <c r="D6" s="116"/>
      <c r="E6" s="116"/>
      <c r="F6" s="116"/>
      <c r="G6" s="116"/>
      <c r="H6" s="116"/>
      <c r="I6" s="85"/>
      <c r="J6" s="85"/>
      <c r="K6" s="85"/>
    </row>
    <row r="7" spans="1:11" x14ac:dyDescent="0.25">
      <c r="A7" s="86"/>
      <c r="B7" s="85"/>
      <c r="C7" s="85"/>
      <c r="D7" s="85"/>
      <c r="E7" s="86"/>
      <c r="F7" s="85"/>
      <c r="G7" s="87"/>
      <c r="H7" s="88"/>
      <c r="I7" s="85"/>
      <c r="J7" s="85"/>
      <c r="K7" s="85"/>
    </row>
    <row r="8" spans="1:11" s="2" customFormat="1" ht="47.25" x14ac:dyDescent="0.25">
      <c r="A8" s="76" t="s">
        <v>4</v>
      </c>
      <c r="B8" s="76" t="s">
        <v>5</v>
      </c>
      <c r="C8" s="76" t="s">
        <v>6</v>
      </c>
      <c r="D8" s="76" t="s">
        <v>7</v>
      </c>
      <c r="E8" s="76" t="s">
        <v>8</v>
      </c>
      <c r="F8" s="76" t="s">
        <v>9</v>
      </c>
      <c r="G8" s="89" t="s">
        <v>128</v>
      </c>
      <c r="H8" s="89" t="s">
        <v>10</v>
      </c>
      <c r="I8" s="90"/>
      <c r="J8" s="90"/>
      <c r="K8" s="90"/>
    </row>
    <row r="9" spans="1:11" x14ac:dyDescent="0.25">
      <c r="A9" s="91">
        <v>1</v>
      </c>
      <c r="B9" s="9" t="s">
        <v>11</v>
      </c>
      <c r="C9" s="14" t="s">
        <v>12</v>
      </c>
      <c r="D9" s="14" t="s">
        <v>110</v>
      </c>
      <c r="E9" s="91" t="s">
        <v>40</v>
      </c>
      <c r="F9" s="14">
        <v>25000</v>
      </c>
      <c r="G9" s="79">
        <v>0</v>
      </c>
      <c r="H9" s="92" t="s">
        <v>106</v>
      </c>
      <c r="I9" s="85"/>
      <c r="J9" s="85"/>
      <c r="K9" s="85"/>
    </row>
    <row r="10" spans="1:11" x14ac:dyDescent="0.25">
      <c r="A10" s="93"/>
      <c r="B10" s="10"/>
      <c r="C10" s="11" t="s">
        <v>13</v>
      </c>
      <c r="D10" s="11" t="s">
        <v>110</v>
      </c>
      <c r="E10" s="93" t="s">
        <v>40</v>
      </c>
      <c r="F10" s="11">
        <v>25000</v>
      </c>
      <c r="G10" s="94">
        <v>0</v>
      </c>
      <c r="H10" s="95" t="s">
        <v>106</v>
      </c>
      <c r="I10" s="85"/>
      <c r="J10" s="85"/>
      <c r="K10" s="85"/>
    </row>
    <row r="11" spans="1:11" x14ac:dyDescent="0.25">
      <c r="A11" s="96"/>
      <c r="B11" s="12"/>
      <c r="C11" s="13" t="s">
        <v>14</v>
      </c>
      <c r="D11" s="13" t="s">
        <v>110</v>
      </c>
      <c r="E11" s="96" t="s">
        <v>41</v>
      </c>
      <c r="F11" s="13">
        <v>2500</v>
      </c>
      <c r="G11" s="79">
        <f>22953/744000</f>
        <v>3.0850806451612905E-2</v>
      </c>
      <c r="H11" s="97">
        <f>F11/1000-G11</f>
        <v>2.4691491935483869</v>
      </c>
      <c r="I11" s="85"/>
      <c r="J11" s="85"/>
      <c r="K11" s="85"/>
    </row>
    <row r="12" spans="1:11" x14ac:dyDescent="0.25">
      <c r="A12" s="91">
        <v>2</v>
      </c>
      <c r="B12" s="9" t="s">
        <v>15</v>
      </c>
      <c r="C12" s="14" t="s">
        <v>12</v>
      </c>
      <c r="D12" s="14" t="s">
        <v>111</v>
      </c>
      <c r="E12" s="91" t="s">
        <v>43</v>
      </c>
      <c r="F12" s="14">
        <v>16000</v>
      </c>
      <c r="G12" s="79">
        <f>(1890780+333144)/744000</f>
        <v>2.9891451612903226</v>
      </c>
      <c r="H12" s="92">
        <f t="shared" ref="H12:H49" si="0">F12/1000-G12</f>
        <v>13.010854838709678</v>
      </c>
      <c r="I12" s="85"/>
      <c r="J12" s="85"/>
      <c r="K12" s="85"/>
    </row>
    <row r="13" spans="1:11" x14ac:dyDescent="0.25">
      <c r="A13" s="96"/>
      <c r="B13" s="12"/>
      <c r="C13" s="13" t="s">
        <v>13</v>
      </c>
      <c r="D13" s="13" t="s">
        <v>111</v>
      </c>
      <c r="E13" s="96" t="s">
        <v>43</v>
      </c>
      <c r="F13" s="13">
        <v>16000</v>
      </c>
      <c r="G13" s="55">
        <f>(8904+636600)/744000</f>
        <v>0.86761290322580642</v>
      </c>
      <c r="H13" s="97">
        <f t="shared" si="0"/>
        <v>15.132387096774194</v>
      </c>
      <c r="I13" s="85"/>
      <c r="J13" s="85"/>
      <c r="K13" s="85"/>
    </row>
    <row r="14" spans="1:11" x14ac:dyDescent="0.25">
      <c r="A14" s="98">
        <v>3</v>
      </c>
      <c r="B14" s="7" t="s">
        <v>16</v>
      </c>
      <c r="C14" s="72" t="s">
        <v>12</v>
      </c>
      <c r="D14" s="15" t="s">
        <v>110</v>
      </c>
      <c r="E14" s="98" t="s">
        <v>43</v>
      </c>
      <c r="F14" s="15">
        <v>10000</v>
      </c>
      <c r="G14" s="78">
        <f>18120/744000</f>
        <v>2.4354838709677418E-2</v>
      </c>
      <c r="H14" s="99">
        <f t="shared" si="0"/>
        <v>9.9756451612903234</v>
      </c>
      <c r="I14" s="85"/>
      <c r="J14" s="85"/>
      <c r="K14" s="85"/>
    </row>
    <row r="15" spans="1:11" x14ac:dyDescent="0.25">
      <c r="A15" s="100">
        <v>4</v>
      </c>
      <c r="B15" s="4" t="s">
        <v>17</v>
      </c>
      <c r="C15" s="15" t="s">
        <v>12</v>
      </c>
      <c r="D15" s="8" t="s">
        <v>110</v>
      </c>
      <c r="E15" s="100" t="s">
        <v>43</v>
      </c>
      <c r="F15" s="8">
        <v>10000</v>
      </c>
      <c r="G15" s="73">
        <f>11020/744000</f>
        <v>1.4811827956989248E-2</v>
      </c>
      <c r="H15" s="101">
        <f t="shared" si="0"/>
        <v>9.98518817204301</v>
      </c>
      <c r="I15" s="85"/>
      <c r="J15" s="85"/>
      <c r="K15" s="85"/>
    </row>
    <row r="16" spans="1:11" x14ac:dyDescent="0.25">
      <c r="A16" s="91">
        <v>5</v>
      </c>
      <c r="B16" s="9" t="s">
        <v>18</v>
      </c>
      <c r="C16" s="14" t="s">
        <v>12</v>
      </c>
      <c r="D16" s="14" t="s">
        <v>125</v>
      </c>
      <c r="E16" s="91" t="s">
        <v>43</v>
      </c>
      <c r="F16" s="14">
        <v>40000</v>
      </c>
      <c r="G16" s="79">
        <f>1231164/744000</f>
        <v>1.6547903225806451</v>
      </c>
      <c r="H16" s="92">
        <f t="shared" si="0"/>
        <v>38.345209677419355</v>
      </c>
      <c r="I16" s="85"/>
      <c r="J16" s="85"/>
      <c r="K16" s="85"/>
    </row>
    <row r="17" spans="1:11" x14ac:dyDescent="0.25">
      <c r="A17" s="96"/>
      <c r="B17" s="12"/>
      <c r="C17" s="13" t="s">
        <v>13</v>
      </c>
      <c r="D17" s="13" t="s">
        <v>125</v>
      </c>
      <c r="E17" s="96" t="s">
        <v>45</v>
      </c>
      <c r="F17" s="13">
        <v>5600</v>
      </c>
      <c r="G17" s="55">
        <f>(46200+600+4240+748188)/744000</f>
        <v>1.074231182795699</v>
      </c>
      <c r="H17" s="97">
        <f t="shared" si="0"/>
        <v>4.5257688172043009</v>
      </c>
      <c r="I17" s="85"/>
      <c r="J17" s="85"/>
      <c r="K17" s="85"/>
    </row>
    <row r="18" spans="1:11" x14ac:dyDescent="0.25">
      <c r="A18" s="91">
        <v>6</v>
      </c>
      <c r="B18" s="9" t="s">
        <v>19</v>
      </c>
      <c r="C18" s="14" t="s">
        <v>12</v>
      </c>
      <c r="D18" s="14" t="s">
        <v>112</v>
      </c>
      <c r="E18" s="91" t="s">
        <v>42</v>
      </c>
      <c r="F18" s="14">
        <v>20000</v>
      </c>
      <c r="G18" s="79">
        <f>23310/744000</f>
        <v>3.1330645161290326E-2</v>
      </c>
      <c r="H18" s="95">
        <f>F18/1000-G18</f>
        <v>19.96866935483871</v>
      </c>
      <c r="I18" s="85"/>
      <c r="J18" s="85"/>
      <c r="K18" s="85"/>
    </row>
    <row r="19" spans="1:11" x14ac:dyDescent="0.25">
      <c r="A19" s="93"/>
      <c r="B19" s="10"/>
      <c r="C19" s="11" t="s">
        <v>13</v>
      </c>
      <c r="D19" s="11"/>
      <c r="E19" s="93" t="s">
        <v>42</v>
      </c>
      <c r="F19" s="11">
        <v>20000</v>
      </c>
      <c r="G19" s="94">
        <f>399420/744000</f>
        <v>0.53685483870967743</v>
      </c>
      <c r="H19" s="95">
        <f t="shared" si="0"/>
        <v>19.463145161290324</v>
      </c>
      <c r="I19" s="85"/>
      <c r="J19" s="85"/>
      <c r="K19" s="85"/>
    </row>
    <row r="20" spans="1:11" x14ac:dyDescent="0.25">
      <c r="A20" s="96"/>
      <c r="B20" s="12"/>
      <c r="C20" s="13" t="s">
        <v>14</v>
      </c>
      <c r="D20" s="13"/>
      <c r="E20" s="96" t="s">
        <v>43</v>
      </c>
      <c r="F20" s="13">
        <v>10000</v>
      </c>
      <c r="G20" s="55">
        <f>525182/744000</f>
        <v>0.70588978494623655</v>
      </c>
      <c r="H20" s="97">
        <f t="shared" si="0"/>
        <v>9.2941102150537631</v>
      </c>
      <c r="I20" s="85"/>
      <c r="J20" s="85"/>
      <c r="K20" s="85"/>
    </row>
    <row r="21" spans="1:11" x14ac:dyDescent="0.25">
      <c r="A21" s="91">
        <v>7</v>
      </c>
      <c r="B21" s="9" t="s">
        <v>20</v>
      </c>
      <c r="C21" s="14" t="s">
        <v>12</v>
      </c>
      <c r="D21" s="14" t="s">
        <v>111</v>
      </c>
      <c r="E21" s="91" t="s">
        <v>42</v>
      </c>
      <c r="F21" s="14">
        <v>16000</v>
      </c>
      <c r="G21" s="79">
        <v>0</v>
      </c>
      <c r="H21" s="92" t="s">
        <v>106</v>
      </c>
      <c r="I21" s="85"/>
      <c r="J21" s="85"/>
      <c r="K21" s="85"/>
    </row>
    <row r="22" spans="1:11" x14ac:dyDescent="0.25">
      <c r="A22" s="96"/>
      <c r="B22" s="12"/>
      <c r="C22" s="13" t="s">
        <v>13</v>
      </c>
      <c r="D22" s="13"/>
      <c r="E22" s="96" t="s">
        <v>42</v>
      </c>
      <c r="F22" s="13">
        <v>16000</v>
      </c>
      <c r="G22" s="55">
        <f>93420/744000</f>
        <v>0.12556451612903224</v>
      </c>
      <c r="H22" s="55">
        <f t="shared" si="0"/>
        <v>15.874435483870968</v>
      </c>
      <c r="I22" s="85"/>
      <c r="J22" s="85"/>
      <c r="K22" s="85"/>
    </row>
    <row r="23" spans="1:11" x14ac:dyDescent="0.25">
      <c r="A23" s="100">
        <v>8</v>
      </c>
      <c r="B23" s="4" t="s">
        <v>21</v>
      </c>
      <c r="C23" s="15" t="s">
        <v>12</v>
      </c>
      <c r="D23" s="6" t="s">
        <v>113</v>
      </c>
      <c r="E23" s="100" t="s">
        <v>42</v>
      </c>
      <c r="F23" s="6">
        <v>2500</v>
      </c>
      <c r="G23" s="73">
        <f>33600/744000</f>
        <v>4.5161290322580643E-2</v>
      </c>
      <c r="H23" s="101">
        <f t="shared" si="0"/>
        <v>2.4548387096774196</v>
      </c>
      <c r="I23" s="85"/>
      <c r="J23" s="85"/>
      <c r="K23" s="85"/>
    </row>
    <row r="24" spans="1:11" x14ac:dyDescent="0.25">
      <c r="A24" s="91">
        <v>9</v>
      </c>
      <c r="B24" s="9" t="s">
        <v>22</v>
      </c>
      <c r="C24" s="14" t="s">
        <v>12</v>
      </c>
      <c r="D24" s="14" t="s">
        <v>114</v>
      </c>
      <c r="E24" s="91" t="s">
        <v>43</v>
      </c>
      <c r="F24" s="14">
        <v>6300</v>
      </c>
      <c r="G24" s="79">
        <v>0</v>
      </c>
      <c r="H24" s="92" t="s">
        <v>106</v>
      </c>
      <c r="I24" s="85"/>
      <c r="J24" s="85"/>
      <c r="K24" s="85"/>
    </row>
    <row r="25" spans="1:11" x14ac:dyDescent="0.25">
      <c r="A25" s="96"/>
      <c r="B25" s="12"/>
      <c r="C25" s="13" t="s">
        <v>13</v>
      </c>
      <c r="D25" s="13"/>
      <c r="E25" s="96" t="s">
        <v>43</v>
      </c>
      <c r="F25" s="13">
        <v>6300</v>
      </c>
      <c r="G25" s="55">
        <f>457476/744000</f>
        <v>0.61488709677419351</v>
      </c>
      <c r="H25" s="97">
        <f t="shared" si="0"/>
        <v>5.6851129032258063</v>
      </c>
      <c r="I25" s="85"/>
      <c r="J25" s="85"/>
      <c r="K25" s="85"/>
    </row>
    <row r="26" spans="1:11" x14ac:dyDescent="0.25">
      <c r="A26" s="91">
        <v>10</v>
      </c>
      <c r="B26" s="9" t="s">
        <v>23</v>
      </c>
      <c r="C26" s="14" t="s">
        <v>12</v>
      </c>
      <c r="D26" s="14" t="s">
        <v>111</v>
      </c>
      <c r="E26" s="91" t="s">
        <v>42</v>
      </c>
      <c r="F26" s="14">
        <v>16000</v>
      </c>
      <c r="G26" s="79">
        <f>1248930/744000</f>
        <v>1.6786693548387097</v>
      </c>
      <c r="H26" s="79">
        <f t="shared" si="0"/>
        <v>14.321330645161289</v>
      </c>
      <c r="I26" s="85"/>
      <c r="J26" s="85"/>
      <c r="K26" s="85"/>
    </row>
    <row r="27" spans="1:11" x14ac:dyDescent="0.25">
      <c r="A27" s="96"/>
      <c r="B27" s="12"/>
      <c r="C27" s="13" t="s">
        <v>13</v>
      </c>
      <c r="D27" s="13"/>
      <c r="E27" s="96" t="s">
        <v>42</v>
      </c>
      <c r="F27" s="13">
        <v>16000</v>
      </c>
      <c r="G27" s="55">
        <v>0</v>
      </c>
      <c r="H27" s="55">
        <f t="shared" si="0"/>
        <v>16</v>
      </c>
      <c r="I27" s="85"/>
      <c r="J27" s="85"/>
      <c r="K27" s="85"/>
    </row>
    <row r="28" spans="1:11" ht="31.5" x14ac:dyDescent="0.25">
      <c r="A28" s="100">
        <v>11</v>
      </c>
      <c r="B28" s="4" t="s">
        <v>24</v>
      </c>
      <c r="C28" s="15" t="s">
        <v>12</v>
      </c>
      <c r="D28" s="74" t="s">
        <v>115</v>
      </c>
      <c r="E28" s="100" t="s">
        <v>42</v>
      </c>
      <c r="F28" s="15">
        <v>2500</v>
      </c>
      <c r="G28" s="73">
        <f>14273/744000</f>
        <v>1.9184139784946236E-2</v>
      </c>
      <c r="H28" s="101">
        <f t="shared" si="0"/>
        <v>2.4808158602150536</v>
      </c>
      <c r="I28" s="85"/>
      <c r="J28" s="85"/>
      <c r="K28" s="85"/>
    </row>
    <row r="29" spans="1:11" x14ac:dyDescent="0.25">
      <c r="A29" s="100">
        <v>12</v>
      </c>
      <c r="B29" s="4" t="s">
        <v>25</v>
      </c>
      <c r="C29" s="15" t="s">
        <v>12</v>
      </c>
      <c r="D29" s="8" t="s">
        <v>116</v>
      </c>
      <c r="E29" s="100" t="s">
        <v>42</v>
      </c>
      <c r="F29" s="8">
        <v>2500</v>
      </c>
      <c r="G29" s="73">
        <f>45708/744000</f>
        <v>6.1435483870967741E-2</v>
      </c>
      <c r="H29" s="101">
        <f t="shared" si="0"/>
        <v>2.4385645161290324</v>
      </c>
      <c r="I29" s="85"/>
      <c r="J29" s="85"/>
      <c r="K29" s="85"/>
    </row>
    <row r="30" spans="1:11" x14ac:dyDescent="0.25">
      <c r="A30" s="91">
        <v>13</v>
      </c>
      <c r="B30" s="9" t="s">
        <v>26</v>
      </c>
      <c r="C30" s="14" t="s">
        <v>12</v>
      </c>
      <c r="D30" s="14" t="s">
        <v>117</v>
      </c>
      <c r="E30" s="91" t="s">
        <v>43</v>
      </c>
      <c r="F30" s="14">
        <v>40000</v>
      </c>
      <c r="G30" s="79">
        <v>0</v>
      </c>
      <c r="H30" s="92">
        <f t="shared" si="0"/>
        <v>40</v>
      </c>
      <c r="I30" s="85"/>
      <c r="J30" s="85"/>
      <c r="K30" s="85"/>
    </row>
    <row r="31" spans="1:11" x14ac:dyDescent="0.25">
      <c r="A31" s="96"/>
      <c r="B31" s="12"/>
      <c r="C31" s="13" t="s">
        <v>13</v>
      </c>
      <c r="D31" s="13"/>
      <c r="E31" s="96" t="s">
        <v>43</v>
      </c>
      <c r="F31" s="13">
        <v>20000</v>
      </c>
      <c r="G31" s="55">
        <f>6916392/744000</f>
        <v>9.2962258064516128</v>
      </c>
      <c r="H31" s="97">
        <f>F31/1000-G31</f>
        <v>10.703774193548387</v>
      </c>
      <c r="I31" s="85"/>
      <c r="J31" s="85"/>
      <c r="K31" s="85"/>
    </row>
    <row r="32" spans="1:11" ht="31.5" x14ac:dyDescent="0.25">
      <c r="A32" s="91">
        <v>14</v>
      </c>
      <c r="B32" s="9" t="s">
        <v>27</v>
      </c>
      <c r="C32" s="14" t="s">
        <v>12</v>
      </c>
      <c r="D32" s="75" t="s">
        <v>118</v>
      </c>
      <c r="E32" s="91" t="s">
        <v>42</v>
      </c>
      <c r="F32" s="14">
        <v>10000</v>
      </c>
      <c r="G32" s="79">
        <f>39912/744000</f>
        <v>5.3645161290322582E-2</v>
      </c>
      <c r="H32" s="79">
        <f t="shared" si="0"/>
        <v>9.9463548387096772</v>
      </c>
      <c r="I32" s="85"/>
      <c r="J32" s="85"/>
      <c r="K32" s="85"/>
    </row>
    <row r="33" spans="1:11" x14ac:dyDescent="0.25">
      <c r="A33" s="96"/>
      <c r="B33" s="12"/>
      <c r="C33" s="13" t="s">
        <v>13</v>
      </c>
      <c r="D33" s="13"/>
      <c r="E33" s="96" t="s">
        <v>42</v>
      </c>
      <c r="F33" s="13">
        <v>10000</v>
      </c>
      <c r="G33" s="55">
        <f>603528/744000</f>
        <v>0.81119354838709679</v>
      </c>
      <c r="H33" s="79">
        <f t="shared" si="0"/>
        <v>9.1888064516129031</v>
      </c>
      <c r="I33" s="85"/>
      <c r="J33" s="85"/>
      <c r="K33" s="85"/>
    </row>
    <row r="34" spans="1:11" x14ac:dyDescent="0.25">
      <c r="A34" s="100">
        <v>15</v>
      </c>
      <c r="B34" s="4" t="s">
        <v>28</v>
      </c>
      <c r="C34" s="15" t="s">
        <v>12</v>
      </c>
      <c r="D34" s="6" t="s">
        <v>119</v>
      </c>
      <c r="E34" s="100" t="s">
        <v>44</v>
      </c>
      <c r="F34" s="6">
        <v>6300</v>
      </c>
      <c r="G34" s="73">
        <f>49080/744000</f>
        <v>6.5967741935483867E-2</v>
      </c>
      <c r="H34" s="101">
        <f t="shared" si="0"/>
        <v>6.2340322580645156</v>
      </c>
      <c r="I34" s="85"/>
      <c r="J34" s="85"/>
      <c r="K34" s="85"/>
    </row>
    <row r="35" spans="1:11" ht="47.25" x14ac:dyDescent="0.25">
      <c r="A35" s="91">
        <v>16</v>
      </c>
      <c r="B35" s="9" t="s">
        <v>29</v>
      </c>
      <c r="C35" s="14" t="s">
        <v>12</v>
      </c>
      <c r="D35" s="75" t="s">
        <v>127</v>
      </c>
      <c r="E35" s="91" t="s">
        <v>42</v>
      </c>
      <c r="F35" s="14">
        <v>6300</v>
      </c>
      <c r="G35" s="79">
        <v>0</v>
      </c>
      <c r="H35" s="92" t="s">
        <v>106</v>
      </c>
      <c r="I35" s="85"/>
      <c r="J35" s="85"/>
      <c r="K35" s="85"/>
    </row>
    <row r="36" spans="1:11" x14ac:dyDescent="0.25">
      <c r="A36" s="96"/>
      <c r="B36" s="12"/>
      <c r="C36" s="13" t="s">
        <v>13</v>
      </c>
      <c r="D36" s="13"/>
      <c r="E36" s="102" t="s">
        <v>47</v>
      </c>
      <c r="F36" s="13">
        <v>10000</v>
      </c>
      <c r="G36" s="55">
        <v>0</v>
      </c>
      <c r="H36" s="97" t="s">
        <v>106</v>
      </c>
      <c r="I36" s="85"/>
      <c r="J36" s="85"/>
      <c r="K36" s="85"/>
    </row>
    <row r="37" spans="1:11" x14ac:dyDescent="0.25">
      <c r="A37" s="91">
        <v>17</v>
      </c>
      <c r="B37" s="9" t="s">
        <v>30</v>
      </c>
      <c r="C37" s="14" t="s">
        <v>12</v>
      </c>
      <c r="D37" s="14" t="s">
        <v>126</v>
      </c>
      <c r="E37" s="91" t="s">
        <v>45</v>
      </c>
      <c r="F37" s="14">
        <v>5600</v>
      </c>
      <c r="G37" s="79">
        <f>65256/744000</f>
        <v>8.7709677419354842E-2</v>
      </c>
      <c r="H37" s="92">
        <f t="shared" si="0"/>
        <v>5.512290322580645</v>
      </c>
      <c r="I37" s="85"/>
      <c r="J37" s="85"/>
      <c r="K37" s="85"/>
    </row>
    <row r="38" spans="1:11" x14ac:dyDescent="0.25">
      <c r="A38" s="96"/>
      <c r="B38" s="12"/>
      <c r="C38" s="13" t="s">
        <v>13</v>
      </c>
      <c r="D38" s="13"/>
      <c r="E38" s="96" t="s">
        <v>45</v>
      </c>
      <c r="F38" s="13">
        <v>5600</v>
      </c>
      <c r="G38" s="55">
        <v>0</v>
      </c>
      <c r="H38" s="97" t="s">
        <v>106</v>
      </c>
      <c r="I38" s="85"/>
      <c r="J38" s="85"/>
      <c r="K38" s="85"/>
    </row>
    <row r="39" spans="1:11" x14ac:dyDescent="0.25">
      <c r="A39" s="100">
        <v>18</v>
      </c>
      <c r="B39" s="4" t="s">
        <v>31</v>
      </c>
      <c r="C39" s="15" t="s">
        <v>12</v>
      </c>
      <c r="D39" s="6" t="s">
        <v>126</v>
      </c>
      <c r="E39" s="100" t="s">
        <v>45</v>
      </c>
      <c r="F39" s="6">
        <v>560</v>
      </c>
      <c r="G39" s="73">
        <f>6279/744000</f>
        <v>8.4395161290322582E-3</v>
      </c>
      <c r="H39" s="101">
        <f t="shared" si="0"/>
        <v>0.55156048387096779</v>
      </c>
      <c r="I39" s="85"/>
      <c r="J39" s="85"/>
      <c r="K39" s="85"/>
    </row>
    <row r="40" spans="1:11" x14ac:dyDescent="0.25">
      <c r="A40" s="91">
        <v>19</v>
      </c>
      <c r="B40" s="9" t="s">
        <v>32</v>
      </c>
      <c r="C40" s="14" t="s">
        <v>12</v>
      </c>
      <c r="D40" s="14" t="s">
        <v>125</v>
      </c>
      <c r="E40" s="91" t="s">
        <v>45</v>
      </c>
      <c r="F40" s="14">
        <v>2500</v>
      </c>
      <c r="G40" s="79">
        <v>0</v>
      </c>
      <c r="H40" s="92" t="s">
        <v>106</v>
      </c>
      <c r="I40" s="85"/>
      <c r="J40" s="85"/>
      <c r="K40" s="85"/>
    </row>
    <row r="41" spans="1:11" x14ac:dyDescent="0.25">
      <c r="A41" s="96"/>
      <c r="B41" s="12"/>
      <c r="C41" s="13" t="s">
        <v>13</v>
      </c>
      <c r="D41" s="13" t="s">
        <v>125</v>
      </c>
      <c r="E41" s="96" t="s">
        <v>45</v>
      </c>
      <c r="F41" s="13">
        <v>2500</v>
      </c>
      <c r="G41" s="55">
        <f>882/744000</f>
        <v>1.1854838709677419E-3</v>
      </c>
      <c r="H41" s="97">
        <f t="shared" si="0"/>
        <v>2.4988145161290323</v>
      </c>
      <c r="I41" s="85"/>
      <c r="J41" s="85"/>
      <c r="K41" s="85"/>
    </row>
    <row r="42" spans="1:11" x14ac:dyDescent="0.25">
      <c r="A42" s="100">
        <v>20</v>
      </c>
      <c r="B42" s="4" t="s">
        <v>33</v>
      </c>
      <c r="C42" s="15" t="s">
        <v>12</v>
      </c>
      <c r="D42" s="15" t="s">
        <v>110</v>
      </c>
      <c r="E42" s="100" t="s">
        <v>45</v>
      </c>
      <c r="F42" s="15">
        <v>1600</v>
      </c>
      <c r="G42" s="73">
        <f>10411/744000</f>
        <v>1.3993279569892473E-2</v>
      </c>
      <c r="H42" s="101">
        <f t="shared" si="0"/>
        <v>1.5860067204301076</v>
      </c>
      <c r="I42" s="85"/>
      <c r="J42" s="85"/>
      <c r="K42" s="85"/>
    </row>
    <row r="43" spans="1:11" x14ac:dyDescent="0.25">
      <c r="A43" s="100">
        <v>21</v>
      </c>
      <c r="B43" s="4" t="s">
        <v>34</v>
      </c>
      <c r="C43" s="15" t="s">
        <v>12</v>
      </c>
      <c r="D43" s="15" t="s">
        <v>120</v>
      </c>
      <c r="E43" s="100" t="s">
        <v>45</v>
      </c>
      <c r="F43" s="15">
        <v>6300</v>
      </c>
      <c r="G43" s="73">
        <f>163906/744000</f>
        <v>0.22030376344086022</v>
      </c>
      <c r="H43" s="101">
        <f t="shared" si="0"/>
        <v>6.0796962365591396</v>
      </c>
      <c r="I43" s="85"/>
      <c r="J43" s="85"/>
      <c r="K43" s="85"/>
    </row>
    <row r="44" spans="1:11" ht="31.5" x14ac:dyDescent="0.25">
      <c r="A44" s="91">
        <v>22</v>
      </c>
      <c r="B44" s="9" t="s">
        <v>35</v>
      </c>
      <c r="C44" s="14" t="s">
        <v>12</v>
      </c>
      <c r="D44" s="75" t="s">
        <v>121</v>
      </c>
      <c r="E44" s="91" t="s">
        <v>45</v>
      </c>
      <c r="F44" s="14">
        <v>4000</v>
      </c>
      <c r="G44" s="79">
        <f>322236/744000</f>
        <v>0.43311290322580648</v>
      </c>
      <c r="H44" s="92">
        <f t="shared" si="0"/>
        <v>3.5668870967741935</v>
      </c>
      <c r="I44" s="85"/>
      <c r="J44" s="85"/>
      <c r="K44" s="85"/>
    </row>
    <row r="45" spans="1:11" x14ac:dyDescent="0.25">
      <c r="A45" s="96"/>
      <c r="B45" s="12"/>
      <c r="C45" s="13" t="s">
        <v>13</v>
      </c>
      <c r="D45" s="13"/>
      <c r="E45" s="96" t="s">
        <v>45</v>
      </c>
      <c r="F45" s="13">
        <v>4000</v>
      </c>
      <c r="G45" s="55">
        <v>0</v>
      </c>
      <c r="H45" s="97" t="s">
        <v>106</v>
      </c>
      <c r="I45" s="85"/>
      <c r="J45" s="85"/>
      <c r="K45" s="85"/>
    </row>
    <row r="46" spans="1:11" x14ac:dyDescent="0.25">
      <c r="A46" s="91">
        <v>23</v>
      </c>
      <c r="B46" s="9" t="s">
        <v>36</v>
      </c>
      <c r="C46" s="14" t="s">
        <v>12</v>
      </c>
      <c r="D46" s="14" t="s">
        <v>122</v>
      </c>
      <c r="E46" s="91" t="s">
        <v>45</v>
      </c>
      <c r="F46" s="14">
        <v>4000</v>
      </c>
      <c r="G46" s="79">
        <f>99834/744000</f>
        <v>0.13418548387096774</v>
      </c>
      <c r="H46" s="55">
        <f>F46/1000-G46</f>
        <v>3.8658145161290323</v>
      </c>
      <c r="I46" s="85"/>
      <c r="J46" s="85"/>
      <c r="K46" s="85"/>
    </row>
    <row r="47" spans="1:11" x14ac:dyDescent="0.25">
      <c r="A47" s="96"/>
      <c r="B47" s="12"/>
      <c r="C47" s="13" t="s">
        <v>13</v>
      </c>
      <c r="D47" s="13"/>
      <c r="E47" s="96" t="s">
        <v>45</v>
      </c>
      <c r="F47" s="13">
        <v>4000</v>
      </c>
      <c r="G47" s="55">
        <f>119202/744000</f>
        <v>0.16021774193548388</v>
      </c>
      <c r="H47" s="55">
        <f t="shared" si="0"/>
        <v>3.839782258064516</v>
      </c>
      <c r="I47" s="85"/>
      <c r="J47" s="85"/>
      <c r="K47" s="85"/>
    </row>
    <row r="48" spans="1:11" x14ac:dyDescent="0.25">
      <c r="A48" s="100">
        <v>24</v>
      </c>
      <c r="B48" s="4" t="s">
        <v>37</v>
      </c>
      <c r="C48" s="15" t="s">
        <v>12</v>
      </c>
      <c r="D48" s="15" t="s">
        <v>123</v>
      </c>
      <c r="E48" s="100" t="s">
        <v>46</v>
      </c>
      <c r="F48" s="15"/>
      <c r="G48" s="73">
        <v>0</v>
      </c>
      <c r="H48" s="101" t="s">
        <v>107</v>
      </c>
      <c r="I48" s="85"/>
      <c r="J48" s="85"/>
      <c r="K48" s="85"/>
    </row>
    <row r="49" spans="1:11" x14ac:dyDescent="0.25">
      <c r="A49" s="100">
        <v>25</v>
      </c>
      <c r="B49" s="4" t="s">
        <v>38</v>
      </c>
      <c r="C49" s="15" t="s">
        <v>12</v>
      </c>
      <c r="D49" s="15" t="s">
        <v>124</v>
      </c>
      <c r="E49" s="100" t="s">
        <v>45</v>
      </c>
      <c r="F49" s="15">
        <v>1000</v>
      </c>
      <c r="G49" s="73">
        <f>80522/744000</f>
        <v>0.10822849462365591</v>
      </c>
      <c r="H49" s="101">
        <f t="shared" si="0"/>
        <v>0.89177150537634409</v>
      </c>
      <c r="I49" s="85"/>
      <c r="J49" s="85"/>
      <c r="K49" s="85"/>
    </row>
    <row r="50" spans="1:11" x14ac:dyDescent="0.25">
      <c r="A50" s="100">
        <v>26</v>
      </c>
      <c r="B50" s="4" t="s">
        <v>39</v>
      </c>
      <c r="C50" s="15" t="s">
        <v>12</v>
      </c>
      <c r="D50" s="15" t="s">
        <v>125</v>
      </c>
      <c r="E50" s="100" t="s">
        <v>41</v>
      </c>
      <c r="F50" s="15">
        <v>2500</v>
      </c>
      <c r="G50" s="73">
        <v>0</v>
      </c>
      <c r="H50" s="101" t="s">
        <v>106</v>
      </c>
      <c r="I50" s="85"/>
      <c r="J50" s="85"/>
      <c r="K50" s="85"/>
    </row>
    <row r="51" spans="1:11" x14ac:dyDescent="0.25">
      <c r="A51" s="86"/>
      <c r="B51" s="85"/>
      <c r="C51" s="85"/>
      <c r="D51" s="85"/>
      <c r="E51" s="86"/>
      <c r="F51" s="85"/>
      <c r="G51" s="87"/>
      <c r="H51" s="88"/>
      <c r="I51" s="85"/>
      <c r="J51" s="85"/>
      <c r="K51" s="85"/>
    </row>
    <row r="52" spans="1:11" x14ac:dyDescent="0.25">
      <c r="A52" s="116" t="s">
        <v>48</v>
      </c>
      <c r="B52" s="116"/>
      <c r="C52" s="116"/>
      <c r="D52" s="116"/>
      <c r="E52" s="116"/>
      <c r="F52" s="116"/>
      <c r="G52" s="116"/>
      <c r="H52" s="116"/>
      <c r="I52" s="85"/>
      <c r="J52" s="85"/>
      <c r="K52" s="85"/>
    </row>
    <row r="53" spans="1:11" x14ac:dyDescent="0.25">
      <c r="A53" s="86"/>
      <c r="B53" s="85"/>
      <c r="C53" s="85"/>
      <c r="D53" s="85"/>
      <c r="E53" s="86"/>
      <c r="F53" s="85"/>
      <c r="G53" s="87"/>
      <c r="H53" s="88"/>
      <c r="I53" s="85"/>
      <c r="J53" s="85"/>
      <c r="K53" s="85"/>
    </row>
    <row r="54" spans="1:11" ht="63" x14ac:dyDescent="0.25">
      <c r="A54" s="76" t="s">
        <v>4</v>
      </c>
      <c r="B54" s="76" t="s">
        <v>49</v>
      </c>
      <c r="C54" s="76" t="s">
        <v>50</v>
      </c>
      <c r="D54" s="76" t="s">
        <v>51</v>
      </c>
      <c r="E54" s="76" t="s">
        <v>8</v>
      </c>
      <c r="F54" s="76" t="s">
        <v>52</v>
      </c>
      <c r="G54" s="89" t="s">
        <v>129</v>
      </c>
      <c r="H54" s="89" t="s">
        <v>10</v>
      </c>
      <c r="I54" s="85"/>
      <c r="J54" s="85"/>
      <c r="K54" s="85"/>
    </row>
    <row r="55" spans="1:11" x14ac:dyDescent="0.25">
      <c r="A55" s="100"/>
      <c r="B55" s="80" t="s">
        <v>53</v>
      </c>
      <c r="C55" s="4"/>
      <c r="D55" s="15"/>
      <c r="E55" s="80"/>
      <c r="F55" s="15"/>
      <c r="G55" s="73"/>
      <c r="H55" s="101"/>
      <c r="I55" s="85"/>
      <c r="J55" s="85"/>
      <c r="K55" s="85"/>
    </row>
    <row r="56" spans="1:11" x14ac:dyDescent="0.25">
      <c r="A56" s="91">
        <v>1</v>
      </c>
      <c r="B56" s="9" t="s">
        <v>54</v>
      </c>
      <c r="C56" s="56">
        <v>3.3</v>
      </c>
      <c r="D56" s="64">
        <v>120</v>
      </c>
      <c r="E56" s="14">
        <v>110</v>
      </c>
      <c r="F56" s="103">
        <f>1.73*115*330/1000</f>
        <v>65.653499999999994</v>
      </c>
      <c r="G56" s="79">
        <v>8.8999999999999996E-2</v>
      </c>
      <c r="H56" s="103">
        <f>F56-G56</f>
        <v>65.564499999999995</v>
      </c>
      <c r="I56" s="85"/>
      <c r="J56" s="85"/>
      <c r="K56" s="85"/>
    </row>
    <row r="57" spans="1:11" x14ac:dyDescent="0.25">
      <c r="A57" s="93">
        <v>2</v>
      </c>
      <c r="B57" s="10" t="s">
        <v>55</v>
      </c>
      <c r="C57" s="57">
        <v>217.4</v>
      </c>
      <c r="D57" s="65">
        <v>150</v>
      </c>
      <c r="E57" s="11">
        <v>110</v>
      </c>
      <c r="F57" s="104">
        <f>1.73*115*445/1000</f>
        <v>88.532749999999993</v>
      </c>
      <c r="G57" s="94">
        <f>2370674/744000</f>
        <v>3.1863897849462366</v>
      </c>
      <c r="H57" s="104">
        <f t="shared" ref="H57:H108" si="1">F57-G57</f>
        <v>85.34636021505375</v>
      </c>
      <c r="I57" s="85"/>
      <c r="J57" s="85"/>
      <c r="K57" s="85"/>
    </row>
    <row r="58" spans="1:11" x14ac:dyDescent="0.25">
      <c r="A58" s="93">
        <v>3</v>
      </c>
      <c r="B58" s="10" t="s">
        <v>56</v>
      </c>
      <c r="C58" s="57">
        <v>217.4</v>
      </c>
      <c r="D58" s="65">
        <v>150</v>
      </c>
      <c r="E58" s="11">
        <v>110</v>
      </c>
      <c r="F58" s="104">
        <f>1.73*115*445/1000</f>
        <v>88.532749999999993</v>
      </c>
      <c r="G58" s="94">
        <f>435875/744000</f>
        <v>0.58585349462365588</v>
      </c>
      <c r="H58" s="104">
        <f t="shared" si="1"/>
        <v>87.946896505376344</v>
      </c>
      <c r="I58" s="85"/>
      <c r="J58" s="85"/>
      <c r="K58" s="85"/>
    </row>
    <row r="59" spans="1:11" x14ac:dyDescent="0.25">
      <c r="A59" s="93">
        <v>4</v>
      </c>
      <c r="B59" s="10" t="s">
        <v>57</v>
      </c>
      <c r="C59" s="58">
        <v>17.3</v>
      </c>
      <c r="D59" s="65" t="s">
        <v>109</v>
      </c>
      <c r="E59" s="11">
        <v>110</v>
      </c>
      <c r="F59" s="104">
        <f>1.73*115*445/1000</f>
        <v>88.532749999999993</v>
      </c>
      <c r="G59" s="94">
        <f>3651877/744000</f>
        <v>4.9084368279569892</v>
      </c>
      <c r="H59" s="104">
        <f t="shared" si="1"/>
        <v>83.624313172043003</v>
      </c>
      <c r="I59" s="85"/>
      <c r="J59" s="85"/>
      <c r="K59" s="85"/>
    </row>
    <row r="60" spans="1:11" x14ac:dyDescent="0.25">
      <c r="A60" s="93">
        <v>5</v>
      </c>
      <c r="B60" s="10" t="s">
        <v>58</v>
      </c>
      <c r="C60" s="57">
        <v>17.3</v>
      </c>
      <c r="D60" s="65" t="s">
        <v>109</v>
      </c>
      <c r="E60" s="11">
        <v>110</v>
      </c>
      <c r="F60" s="104">
        <f>1.73*115*445/1000</f>
        <v>88.532749999999993</v>
      </c>
      <c r="G60" s="94">
        <f>2816271/744000</f>
        <v>3.7853104838709677</v>
      </c>
      <c r="H60" s="104">
        <f t="shared" si="1"/>
        <v>84.74743951612902</v>
      </c>
      <c r="I60" s="85"/>
      <c r="J60" s="85"/>
      <c r="K60" s="85"/>
    </row>
    <row r="61" spans="1:11" x14ac:dyDescent="0.25">
      <c r="A61" s="93">
        <v>6</v>
      </c>
      <c r="B61" s="10" t="s">
        <v>59</v>
      </c>
      <c r="C61" s="57">
        <v>47.1</v>
      </c>
      <c r="D61" s="65">
        <v>120</v>
      </c>
      <c r="E61" s="11">
        <v>110</v>
      </c>
      <c r="F61" s="104">
        <f>1.73*115*445/1000</f>
        <v>88.532749999999993</v>
      </c>
      <c r="G61" s="94">
        <f>580888/744000</f>
        <v>0.7807634408602151</v>
      </c>
      <c r="H61" s="104">
        <f t="shared" si="1"/>
        <v>87.75198655913978</v>
      </c>
      <c r="I61" s="85"/>
      <c r="J61" s="85"/>
      <c r="K61" s="85"/>
    </row>
    <row r="62" spans="1:11" x14ac:dyDescent="0.25">
      <c r="A62" s="93">
        <v>7</v>
      </c>
      <c r="B62" s="10" t="s">
        <v>60</v>
      </c>
      <c r="C62" s="57">
        <v>36.9</v>
      </c>
      <c r="D62" s="65">
        <v>120</v>
      </c>
      <c r="E62" s="11">
        <v>110</v>
      </c>
      <c r="F62" s="104">
        <f>1.73*115*380/1000</f>
        <v>75.600999999999999</v>
      </c>
      <c r="G62" s="94">
        <f>1011237/744000</f>
        <v>1.3591895161290322</v>
      </c>
      <c r="H62" s="104">
        <f t="shared" si="1"/>
        <v>74.241810483870964</v>
      </c>
      <c r="I62" s="85"/>
      <c r="J62" s="85"/>
      <c r="K62" s="85"/>
    </row>
    <row r="63" spans="1:11" x14ac:dyDescent="0.25">
      <c r="A63" s="93">
        <v>8</v>
      </c>
      <c r="B63" s="10" t="s">
        <v>61</v>
      </c>
      <c r="C63" s="58">
        <v>39.32</v>
      </c>
      <c r="D63" s="65">
        <v>185</v>
      </c>
      <c r="E63" s="11">
        <v>110</v>
      </c>
      <c r="F63" s="104">
        <f>1.73*115*510/1000</f>
        <v>101.4645</v>
      </c>
      <c r="G63" s="94">
        <f>5324487/744000</f>
        <v>7.1565685483870967</v>
      </c>
      <c r="H63" s="104">
        <f t="shared" si="1"/>
        <v>94.307931451612902</v>
      </c>
      <c r="I63" s="85"/>
      <c r="J63" s="85"/>
      <c r="K63" s="85"/>
    </row>
    <row r="64" spans="1:11" x14ac:dyDescent="0.25">
      <c r="A64" s="93">
        <v>9</v>
      </c>
      <c r="B64" s="10" t="s">
        <v>105</v>
      </c>
      <c r="C64" s="57">
        <v>172.4</v>
      </c>
      <c r="D64" s="65">
        <v>185</v>
      </c>
      <c r="E64" s="11">
        <v>110</v>
      </c>
      <c r="F64" s="104">
        <f>1.73*115*510/1000</f>
        <v>101.4645</v>
      </c>
      <c r="G64" s="94">
        <f>4097194/744000</f>
        <v>5.5069811827956991</v>
      </c>
      <c r="H64" s="104">
        <f t="shared" si="1"/>
        <v>95.957518817204303</v>
      </c>
      <c r="I64" s="85"/>
      <c r="J64" s="85"/>
      <c r="K64" s="85"/>
    </row>
    <row r="65" spans="1:11" x14ac:dyDescent="0.25">
      <c r="A65" s="93">
        <v>10</v>
      </c>
      <c r="B65" s="10" t="s">
        <v>62</v>
      </c>
      <c r="C65" s="57">
        <v>3.35</v>
      </c>
      <c r="D65" s="65">
        <v>120</v>
      </c>
      <c r="E65" s="11">
        <v>110</v>
      </c>
      <c r="F65" s="104">
        <f>1.73*115*380/1000</f>
        <v>75.600999999999999</v>
      </c>
      <c r="G65" s="94">
        <v>9.6170000000000009</v>
      </c>
      <c r="H65" s="104">
        <f>F65-G65</f>
        <v>65.983999999999995</v>
      </c>
      <c r="I65" s="85"/>
      <c r="J65" s="85"/>
      <c r="K65" s="85"/>
    </row>
    <row r="66" spans="1:11" x14ac:dyDescent="0.25">
      <c r="A66" s="96">
        <v>11</v>
      </c>
      <c r="B66" s="12" t="s">
        <v>63</v>
      </c>
      <c r="C66" s="59">
        <v>19</v>
      </c>
      <c r="D66" s="66">
        <v>35</v>
      </c>
      <c r="E66" s="13">
        <v>35</v>
      </c>
      <c r="F66" s="105">
        <f>1.73*37*175/1000</f>
        <v>11.201750000000001</v>
      </c>
      <c r="G66" s="55">
        <f>279988/744000</f>
        <v>0.37632795698924731</v>
      </c>
      <c r="H66" s="105">
        <f t="shared" si="1"/>
        <v>10.825422043010754</v>
      </c>
      <c r="I66" s="85"/>
      <c r="J66" s="85"/>
      <c r="K66" s="85"/>
    </row>
    <row r="67" spans="1:11" x14ac:dyDescent="0.25">
      <c r="A67" s="100"/>
      <c r="B67" s="80" t="s">
        <v>64</v>
      </c>
      <c r="C67" s="60"/>
      <c r="D67" s="67"/>
      <c r="E67" s="80"/>
      <c r="F67" s="106"/>
      <c r="G67" s="73"/>
      <c r="H67" s="106"/>
      <c r="I67" s="85"/>
      <c r="J67" s="85"/>
      <c r="K67" s="85"/>
    </row>
    <row r="68" spans="1:11" x14ac:dyDescent="0.25">
      <c r="A68" s="91">
        <v>12</v>
      </c>
      <c r="B68" s="9" t="s">
        <v>65</v>
      </c>
      <c r="C68" s="61">
        <v>89.5</v>
      </c>
      <c r="D68" s="64">
        <v>120</v>
      </c>
      <c r="E68" s="14">
        <v>110</v>
      </c>
      <c r="F68" s="103">
        <f>1.73*115*380/1000</f>
        <v>75.600999999999999</v>
      </c>
      <c r="G68" s="79">
        <f>124549/744000</f>
        <v>0.16740456989247313</v>
      </c>
      <c r="H68" s="103">
        <f t="shared" si="1"/>
        <v>75.43359543010753</v>
      </c>
      <c r="I68" s="85"/>
      <c r="J68" s="85"/>
      <c r="K68" s="85"/>
    </row>
    <row r="69" spans="1:11" x14ac:dyDescent="0.25">
      <c r="A69" s="93">
        <v>13</v>
      </c>
      <c r="B69" s="10" t="s">
        <v>66</v>
      </c>
      <c r="C69" s="57">
        <v>118.61</v>
      </c>
      <c r="D69" s="65">
        <v>120</v>
      </c>
      <c r="E69" s="11">
        <v>110</v>
      </c>
      <c r="F69" s="104">
        <f>1.73*115*380/1000</f>
        <v>75.600999999999999</v>
      </c>
      <c r="G69" s="94">
        <v>0</v>
      </c>
      <c r="H69" s="107" t="s">
        <v>106</v>
      </c>
      <c r="I69" s="85"/>
      <c r="J69" s="85"/>
      <c r="K69" s="85"/>
    </row>
    <row r="70" spans="1:11" x14ac:dyDescent="0.25">
      <c r="A70" s="96">
        <v>14</v>
      </c>
      <c r="B70" s="12" t="s">
        <v>67</v>
      </c>
      <c r="C70" s="59">
        <v>90.5</v>
      </c>
      <c r="D70" s="66">
        <v>120</v>
      </c>
      <c r="E70" s="13">
        <v>110</v>
      </c>
      <c r="F70" s="105">
        <f>1.73*115*380/1000</f>
        <v>75.600999999999999</v>
      </c>
      <c r="G70" s="55">
        <f>568896/744000</f>
        <v>0.76464516129032256</v>
      </c>
      <c r="H70" s="105">
        <f t="shared" si="1"/>
        <v>74.836354838709681</v>
      </c>
      <c r="I70" s="85"/>
      <c r="J70" s="85"/>
      <c r="K70" s="85"/>
    </row>
    <row r="71" spans="1:11" x14ac:dyDescent="0.25">
      <c r="A71" s="100"/>
      <c r="B71" s="80" t="s">
        <v>68</v>
      </c>
      <c r="C71" s="62"/>
      <c r="D71" s="67"/>
      <c r="E71" s="80"/>
      <c r="F71" s="106"/>
      <c r="G71" s="73"/>
      <c r="H71" s="106"/>
      <c r="I71" s="85"/>
      <c r="J71" s="85"/>
      <c r="K71" s="85"/>
    </row>
    <row r="72" spans="1:11" x14ac:dyDescent="0.25">
      <c r="A72" s="91">
        <v>15</v>
      </c>
      <c r="B72" s="9" t="s">
        <v>69</v>
      </c>
      <c r="C72" s="56">
        <v>51</v>
      </c>
      <c r="D72" s="64">
        <v>185</v>
      </c>
      <c r="E72" s="14">
        <v>110</v>
      </c>
      <c r="F72" s="103">
        <f>1.73*115*510/1000</f>
        <v>101.4645</v>
      </c>
      <c r="G72" s="79">
        <f>4628032/744000</f>
        <v>6.2204731182795703</v>
      </c>
      <c r="H72" s="103">
        <f t="shared" si="1"/>
        <v>95.24402688172043</v>
      </c>
      <c r="I72" s="85"/>
      <c r="J72" s="85"/>
      <c r="K72" s="85"/>
    </row>
    <row r="73" spans="1:11" x14ac:dyDescent="0.25">
      <c r="A73" s="96">
        <v>16</v>
      </c>
      <c r="B73" s="12" t="s">
        <v>70</v>
      </c>
      <c r="C73" s="63">
        <v>2.2599999999999998</v>
      </c>
      <c r="D73" s="66">
        <v>70</v>
      </c>
      <c r="E73" s="13">
        <v>35</v>
      </c>
      <c r="F73" s="105">
        <f>1.73*37*265/1000</f>
        <v>16.96265</v>
      </c>
      <c r="G73" s="55">
        <f>1016657/744000</f>
        <v>1.3664744623655913</v>
      </c>
      <c r="H73" s="105">
        <f t="shared" si="1"/>
        <v>15.596175537634409</v>
      </c>
      <c r="I73" s="85"/>
      <c r="J73" s="85"/>
      <c r="K73" s="85"/>
    </row>
    <row r="74" spans="1:11" x14ac:dyDescent="0.25">
      <c r="A74" s="100"/>
      <c r="B74" s="80" t="s">
        <v>71</v>
      </c>
      <c r="C74" s="60"/>
      <c r="D74" s="67"/>
      <c r="E74" s="80"/>
      <c r="F74" s="106"/>
      <c r="G74" s="73"/>
      <c r="H74" s="106"/>
      <c r="I74" s="85"/>
      <c r="J74" s="85"/>
      <c r="K74" s="85"/>
    </row>
    <row r="75" spans="1:11" x14ac:dyDescent="0.25">
      <c r="A75" s="91">
        <v>17</v>
      </c>
      <c r="B75" s="9" t="s">
        <v>72</v>
      </c>
      <c r="C75" s="56">
        <v>30</v>
      </c>
      <c r="D75" s="64">
        <v>95</v>
      </c>
      <c r="E75" s="14">
        <v>35</v>
      </c>
      <c r="F75" s="103">
        <f>1.73*37*330/1000</f>
        <v>21.123300000000004</v>
      </c>
      <c r="G75" s="79">
        <f>22953/744000</f>
        <v>3.0850806451612905E-2</v>
      </c>
      <c r="H75" s="103">
        <f t="shared" si="1"/>
        <v>21.09244919354839</v>
      </c>
      <c r="I75" s="85"/>
      <c r="J75" s="85"/>
      <c r="K75" s="85"/>
    </row>
    <row r="76" spans="1:11" x14ac:dyDescent="0.25">
      <c r="A76" s="93">
        <v>18</v>
      </c>
      <c r="B76" s="10" t="s">
        <v>73</v>
      </c>
      <c r="C76" s="57">
        <v>53.3</v>
      </c>
      <c r="D76" s="65">
        <v>70</v>
      </c>
      <c r="E76" s="11">
        <v>35</v>
      </c>
      <c r="F76" s="104">
        <f>1.73*37*265/1000</f>
        <v>16.96265</v>
      </c>
      <c r="G76" s="94">
        <f>1044076/744000</f>
        <v>1.4033279569892474</v>
      </c>
      <c r="H76" s="104">
        <f t="shared" si="1"/>
        <v>15.559322043010752</v>
      </c>
      <c r="I76" s="85"/>
      <c r="J76" s="85"/>
      <c r="K76" s="85"/>
    </row>
    <row r="77" spans="1:11" x14ac:dyDescent="0.25">
      <c r="A77" s="93">
        <v>19</v>
      </c>
      <c r="B77" s="10" t="s">
        <v>74</v>
      </c>
      <c r="C77" s="58">
        <v>30.9</v>
      </c>
      <c r="D77" s="65">
        <v>70</v>
      </c>
      <c r="E77" s="11">
        <v>35</v>
      </c>
      <c r="F77" s="104">
        <f>1.73*37*265/1000</f>
        <v>16.96265</v>
      </c>
      <c r="G77" s="94">
        <v>0</v>
      </c>
      <c r="H77" s="107" t="s">
        <v>106</v>
      </c>
      <c r="I77" s="85"/>
      <c r="J77" s="85"/>
      <c r="K77" s="85"/>
    </row>
    <row r="78" spans="1:11" x14ac:dyDescent="0.25">
      <c r="A78" s="93">
        <v>20</v>
      </c>
      <c r="B78" s="10" t="s">
        <v>75</v>
      </c>
      <c r="C78" s="57">
        <v>33.14</v>
      </c>
      <c r="D78" s="65">
        <v>70</v>
      </c>
      <c r="E78" s="11">
        <v>35</v>
      </c>
      <c r="F78" s="104">
        <f>1.73*37*265/1000</f>
        <v>16.96265</v>
      </c>
      <c r="G78" s="94">
        <v>0</v>
      </c>
      <c r="H78" s="107" t="s">
        <v>106</v>
      </c>
      <c r="I78" s="85"/>
      <c r="J78" s="85"/>
      <c r="K78" s="85"/>
    </row>
    <row r="79" spans="1:11" x14ac:dyDescent="0.25">
      <c r="A79" s="96">
        <v>21</v>
      </c>
      <c r="B79" s="12" t="s">
        <v>76</v>
      </c>
      <c r="C79" s="63">
        <v>44.5</v>
      </c>
      <c r="D79" s="66">
        <v>95</v>
      </c>
      <c r="E79" s="13">
        <v>35</v>
      </c>
      <c r="F79" s="105">
        <f>1.73*37*330/1000</f>
        <v>21.123300000000004</v>
      </c>
      <c r="G79" s="55">
        <f>49715/744000</f>
        <v>6.6821236559139782E-2</v>
      </c>
      <c r="H79" s="105">
        <f t="shared" si="1"/>
        <v>21.056478763440865</v>
      </c>
      <c r="I79" s="85"/>
      <c r="J79" s="85"/>
      <c r="K79" s="85"/>
    </row>
    <row r="80" spans="1:11" x14ac:dyDescent="0.25">
      <c r="A80" s="100"/>
      <c r="B80" s="80" t="s">
        <v>77</v>
      </c>
      <c r="C80" s="62"/>
      <c r="D80" s="67"/>
      <c r="E80" s="80"/>
      <c r="F80" s="106"/>
      <c r="G80" s="73"/>
      <c r="H80" s="106"/>
      <c r="I80" s="85"/>
      <c r="J80" s="85"/>
      <c r="K80" s="85"/>
    </row>
    <row r="81" spans="1:11" x14ac:dyDescent="0.25">
      <c r="A81" s="100">
        <v>22</v>
      </c>
      <c r="B81" s="4" t="s">
        <v>78</v>
      </c>
      <c r="C81" s="60">
        <v>15.4</v>
      </c>
      <c r="D81" s="67">
        <v>95</v>
      </c>
      <c r="E81" s="15">
        <v>35</v>
      </c>
      <c r="F81" s="108">
        <f>1.73*37*330/1000</f>
        <v>21.123300000000004</v>
      </c>
      <c r="G81" s="73">
        <v>0</v>
      </c>
      <c r="H81" s="109" t="s">
        <v>106</v>
      </c>
      <c r="I81" s="85"/>
      <c r="J81" s="85"/>
      <c r="K81" s="85"/>
    </row>
    <row r="82" spans="1:11" x14ac:dyDescent="0.25">
      <c r="A82" s="100"/>
      <c r="B82" s="80" t="s">
        <v>79</v>
      </c>
      <c r="C82" s="62"/>
      <c r="D82" s="67"/>
      <c r="E82" s="80"/>
      <c r="F82" s="106"/>
      <c r="G82" s="73"/>
      <c r="H82" s="106"/>
      <c r="I82" s="85"/>
      <c r="J82" s="85"/>
      <c r="K82" s="85"/>
    </row>
    <row r="83" spans="1:11" x14ac:dyDescent="0.25">
      <c r="A83" s="100">
        <v>23</v>
      </c>
      <c r="B83" s="4" t="s">
        <v>80</v>
      </c>
      <c r="C83" s="60">
        <v>4</v>
      </c>
      <c r="D83" s="67">
        <v>95</v>
      </c>
      <c r="E83" s="15">
        <v>110</v>
      </c>
      <c r="F83" s="108">
        <f>1.73*115*330/1000</f>
        <v>65.653499999999994</v>
      </c>
      <c r="G83" s="73">
        <v>0</v>
      </c>
      <c r="H83" s="109" t="s">
        <v>106</v>
      </c>
      <c r="I83" s="85"/>
      <c r="J83" s="85"/>
      <c r="K83" s="85"/>
    </row>
    <row r="84" spans="1:11" x14ac:dyDescent="0.25">
      <c r="A84" s="100"/>
      <c r="B84" s="80" t="s">
        <v>81</v>
      </c>
      <c r="C84" s="62"/>
      <c r="D84" s="67"/>
      <c r="E84" s="80"/>
      <c r="F84" s="106"/>
      <c r="G84" s="73"/>
      <c r="H84" s="106"/>
      <c r="I84" s="85"/>
      <c r="J84" s="85"/>
      <c r="K84" s="85"/>
    </row>
    <row r="85" spans="1:11" x14ac:dyDescent="0.25">
      <c r="A85" s="91">
        <v>24</v>
      </c>
      <c r="B85" s="9" t="s">
        <v>66</v>
      </c>
      <c r="C85" s="56">
        <v>118.61</v>
      </c>
      <c r="D85" s="64">
        <v>120</v>
      </c>
      <c r="E85" s="14">
        <v>110</v>
      </c>
      <c r="F85" s="103">
        <f>1.73*115*380/1000</f>
        <v>75.600999999999999</v>
      </c>
      <c r="G85" s="79">
        <f>17862/744000</f>
        <v>2.4008064516129031E-2</v>
      </c>
      <c r="H85" s="103">
        <f t="shared" si="1"/>
        <v>75.576991935483875</v>
      </c>
      <c r="I85" s="85"/>
      <c r="J85" s="85"/>
      <c r="K85" s="85"/>
    </row>
    <row r="86" spans="1:11" x14ac:dyDescent="0.25">
      <c r="A86" s="93">
        <v>25</v>
      </c>
      <c r="B86" s="10" t="s">
        <v>82</v>
      </c>
      <c r="C86" s="57">
        <v>48.3</v>
      </c>
      <c r="D86" s="65">
        <v>185</v>
      </c>
      <c r="E86" s="11">
        <v>110</v>
      </c>
      <c r="F86" s="104">
        <f>1.73*115*510/1000</f>
        <v>101.4645</v>
      </c>
      <c r="G86" s="94">
        <f>2271720/744000</f>
        <v>3.0533870967741934</v>
      </c>
      <c r="H86" s="104">
        <f t="shared" si="1"/>
        <v>98.411112903225813</v>
      </c>
      <c r="I86" s="85"/>
      <c r="J86" s="85"/>
      <c r="K86" s="85"/>
    </row>
    <row r="87" spans="1:11" x14ac:dyDescent="0.25">
      <c r="A87" s="96">
        <v>26</v>
      </c>
      <c r="B87" s="12" t="s">
        <v>83</v>
      </c>
      <c r="C87" s="63">
        <v>30.5</v>
      </c>
      <c r="D87" s="66">
        <v>50</v>
      </c>
      <c r="E87" s="13">
        <v>35</v>
      </c>
      <c r="F87" s="105">
        <f>1.73*37*210/1000</f>
        <v>13.4421</v>
      </c>
      <c r="G87" s="55">
        <f>934290/744000</f>
        <v>1.2557661290322581</v>
      </c>
      <c r="H87" s="105">
        <f t="shared" si="1"/>
        <v>12.186333870967742</v>
      </c>
      <c r="I87" s="85"/>
      <c r="J87" s="85"/>
      <c r="K87" s="85"/>
    </row>
    <row r="88" spans="1:11" x14ac:dyDescent="0.25">
      <c r="A88" s="100"/>
      <c r="B88" s="80" t="s">
        <v>84</v>
      </c>
      <c r="C88" s="60"/>
      <c r="D88" s="67"/>
      <c r="E88" s="80"/>
      <c r="F88" s="106"/>
      <c r="G88" s="73"/>
      <c r="H88" s="106"/>
      <c r="I88" s="85"/>
      <c r="J88" s="85"/>
      <c r="K88" s="85"/>
    </row>
    <row r="89" spans="1:11" x14ac:dyDescent="0.25">
      <c r="A89" s="91">
        <v>27</v>
      </c>
      <c r="B89" s="9" t="s">
        <v>85</v>
      </c>
      <c r="C89" s="56">
        <v>38.4</v>
      </c>
      <c r="D89" s="64">
        <v>120</v>
      </c>
      <c r="E89" s="14">
        <v>110</v>
      </c>
      <c r="F89" s="103">
        <f>1.73*115*380/1000</f>
        <v>75.600999999999999</v>
      </c>
      <c r="G89" s="79">
        <f>3460336/744000</f>
        <v>4.6509892473118279</v>
      </c>
      <c r="H89" s="103">
        <f t="shared" si="1"/>
        <v>70.950010752688172</v>
      </c>
      <c r="I89" s="85"/>
      <c r="J89" s="85"/>
      <c r="K89" s="85"/>
    </row>
    <row r="90" spans="1:11" x14ac:dyDescent="0.25">
      <c r="A90" s="96">
        <v>28</v>
      </c>
      <c r="B90" s="12" t="s">
        <v>86</v>
      </c>
      <c r="C90" s="59">
        <v>1.6</v>
      </c>
      <c r="D90" s="66">
        <v>70</v>
      </c>
      <c r="E90" s="13">
        <v>35</v>
      </c>
      <c r="F90" s="105">
        <f>1.73*37*265/1000</f>
        <v>16.96265</v>
      </c>
      <c r="G90" s="55">
        <f>7345/744000</f>
        <v>9.8723118279569894E-3</v>
      </c>
      <c r="H90" s="110" t="s">
        <v>106</v>
      </c>
      <c r="I90" s="85"/>
      <c r="J90" s="85"/>
      <c r="K90" s="85"/>
    </row>
    <row r="91" spans="1:11" x14ac:dyDescent="0.25">
      <c r="A91" s="100"/>
      <c r="B91" s="80" t="s">
        <v>87</v>
      </c>
      <c r="C91" s="62"/>
      <c r="D91" s="67"/>
      <c r="E91" s="80"/>
      <c r="F91" s="106"/>
      <c r="G91" s="73"/>
      <c r="H91" s="106"/>
      <c r="I91" s="85"/>
      <c r="J91" s="85"/>
      <c r="K91" s="85"/>
    </row>
    <row r="92" spans="1:11" x14ac:dyDescent="0.25">
      <c r="A92" s="100">
        <v>29</v>
      </c>
      <c r="B92" s="4" t="s">
        <v>88</v>
      </c>
      <c r="C92" s="60">
        <v>45.2</v>
      </c>
      <c r="D92" s="67">
        <v>70</v>
      </c>
      <c r="E92" s="15">
        <v>35</v>
      </c>
      <c r="F92" s="108">
        <f>1.73*37*265/1000</f>
        <v>16.96265</v>
      </c>
      <c r="G92" s="73">
        <f>95767/744000</f>
        <v>0.12871908602150536</v>
      </c>
      <c r="H92" s="108">
        <f t="shared" si="1"/>
        <v>16.833930913978495</v>
      </c>
      <c r="I92" s="85"/>
      <c r="J92" s="85"/>
      <c r="K92" s="85"/>
    </row>
    <row r="93" spans="1:11" x14ac:dyDescent="0.25">
      <c r="A93" s="100"/>
      <c r="B93" s="80" t="s">
        <v>89</v>
      </c>
      <c r="C93" s="62"/>
      <c r="D93" s="67"/>
      <c r="E93" s="80"/>
      <c r="F93" s="106"/>
      <c r="G93" s="73"/>
      <c r="H93" s="106"/>
      <c r="I93" s="85"/>
      <c r="J93" s="85"/>
      <c r="K93" s="85"/>
    </row>
    <row r="94" spans="1:11" x14ac:dyDescent="0.25">
      <c r="A94" s="100">
        <v>30</v>
      </c>
      <c r="B94" s="4" t="s">
        <v>90</v>
      </c>
      <c r="C94" s="60">
        <v>65</v>
      </c>
      <c r="D94" s="67" t="s">
        <v>108</v>
      </c>
      <c r="E94" s="15">
        <v>35</v>
      </c>
      <c r="F94" s="108">
        <f>1.73*37*265/1000</f>
        <v>16.96265</v>
      </c>
      <c r="G94" s="73">
        <f>587510/744000</f>
        <v>0.78966397849462366</v>
      </c>
      <c r="H94" s="108">
        <f t="shared" si="1"/>
        <v>16.172986021505377</v>
      </c>
      <c r="I94" s="85"/>
      <c r="J94" s="85"/>
      <c r="K94" s="85"/>
    </row>
    <row r="95" spans="1:11" x14ac:dyDescent="0.25">
      <c r="A95" s="100"/>
      <c r="B95" s="80" t="s">
        <v>91</v>
      </c>
      <c r="C95" s="60"/>
      <c r="D95" s="67"/>
      <c r="E95" s="80"/>
      <c r="F95" s="106"/>
      <c r="G95" s="73"/>
      <c r="H95" s="106"/>
      <c r="I95" s="85"/>
      <c r="J95" s="85"/>
      <c r="K95" s="85"/>
    </row>
    <row r="96" spans="1:11" x14ac:dyDescent="0.25">
      <c r="A96" s="91">
        <v>31</v>
      </c>
      <c r="B96" s="9" t="s">
        <v>92</v>
      </c>
      <c r="C96" s="56">
        <v>71.2</v>
      </c>
      <c r="D96" s="64">
        <v>70</v>
      </c>
      <c r="E96" s="14">
        <v>35</v>
      </c>
      <c r="F96" s="103">
        <f>1.73*37*265/1000</f>
        <v>16.96265</v>
      </c>
      <c r="G96" s="79">
        <f>3795/744000</f>
        <v>5.1008064516129036E-3</v>
      </c>
      <c r="H96" s="103">
        <f t="shared" si="1"/>
        <v>16.957549193548388</v>
      </c>
      <c r="I96" s="85"/>
      <c r="J96" s="85"/>
      <c r="K96" s="85"/>
    </row>
    <row r="97" spans="1:11" x14ac:dyDescent="0.25">
      <c r="A97" s="96">
        <v>32</v>
      </c>
      <c r="B97" s="12" t="s">
        <v>93</v>
      </c>
      <c r="C97" s="81">
        <v>38.6</v>
      </c>
      <c r="D97" s="111">
        <v>95</v>
      </c>
      <c r="E97" s="13">
        <v>35</v>
      </c>
      <c r="F97" s="105">
        <f>1.73*37*330/1000</f>
        <v>21.123300000000004</v>
      </c>
      <c r="G97" s="55">
        <f>10411/744000</f>
        <v>1.3993279569892473E-2</v>
      </c>
      <c r="H97" s="105">
        <f t="shared" si="1"/>
        <v>21.109306720430112</v>
      </c>
      <c r="I97" s="85"/>
      <c r="J97" s="85"/>
      <c r="K97" s="85"/>
    </row>
    <row r="98" spans="1:11" x14ac:dyDescent="0.25">
      <c r="A98" s="100"/>
      <c r="B98" s="80" t="s">
        <v>94</v>
      </c>
      <c r="C98" s="82"/>
      <c r="D98" s="112"/>
      <c r="E98" s="80"/>
      <c r="F98" s="106"/>
      <c r="G98" s="73"/>
      <c r="H98" s="106"/>
      <c r="I98" s="85"/>
      <c r="J98" s="85"/>
      <c r="K98" s="85"/>
    </row>
    <row r="99" spans="1:11" x14ac:dyDescent="0.25">
      <c r="A99" s="100">
        <v>33</v>
      </c>
      <c r="B99" s="4" t="s">
        <v>95</v>
      </c>
      <c r="C99" s="82">
        <v>17.7</v>
      </c>
      <c r="D99" s="112">
        <v>70</v>
      </c>
      <c r="E99" s="15">
        <v>35</v>
      </c>
      <c r="F99" s="108">
        <f>1.73*37*265/1000</f>
        <v>16.96265</v>
      </c>
      <c r="G99" s="73">
        <f>6279/744000</f>
        <v>8.4395161290322582E-3</v>
      </c>
      <c r="H99" s="108">
        <f t="shared" si="1"/>
        <v>16.954210483870966</v>
      </c>
      <c r="I99" s="85"/>
      <c r="J99" s="85"/>
      <c r="K99" s="85"/>
    </row>
    <row r="100" spans="1:11" x14ac:dyDescent="0.25">
      <c r="A100" s="100"/>
      <c r="B100" s="80" t="s">
        <v>96</v>
      </c>
      <c r="C100" s="82"/>
      <c r="D100" s="112"/>
      <c r="E100" s="80"/>
      <c r="F100" s="106"/>
      <c r="G100" s="73"/>
      <c r="H100" s="106"/>
      <c r="I100" s="85"/>
      <c r="J100" s="85"/>
      <c r="K100" s="85"/>
    </row>
    <row r="101" spans="1:11" x14ac:dyDescent="0.25">
      <c r="A101" s="100">
        <v>34</v>
      </c>
      <c r="B101" s="4" t="s">
        <v>97</v>
      </c>
      <c r="C101" s="82">
        <v>19.5</v>
      </c>
      <c r="D101" s="112">
        <v>95</v>
      </c>
      <c r="E101" s="15">
        <v>35</v>
      </c>
      <c r="F101" s="108">
        <f>1.73*37*330/1000</f>
        <v>21.123300000000004</v>
      </c>
      <c r="G101" s="73">
        <f>357994/744000</f>
        <v>0.48117473118279569</v>
      </c>
      <c r="H101" s="108">
        <f t="shared" si="1"/>
        <v>20.642125268817207</v>
      </c>
      <c r="I101" s="85"/>
      <c r="J101" s="85"/>
      <c r="K101" s="85"/>
    </row>
    <row r="102" spans="1:11" x14ac:dyDescent="0.25">
      <c r="A102" s="100"/>
      <c r="B102" s="80" t="s">
        <v>98</v>
      </c>
      <c r="C102" s="82"/>
      <c r="D102" s="112"/>
      <c r="E102" s="80"/>
      <c r="F102" s="106"/>
      <c r="G102" s="73"/>
      <c r="H102" s="106"/>
      <c r="I102" s="85"/>
      <c r="J102" s="85"/>
      <c r="K102" s="85"/>
    </row>
    <row r="103" spans="1:11" x14ac:dyDescent="0.25">
      <c r="A103" s="91">
        <v>35</v>
      </c>
      <c r="B103" s="9" t="s">
        <v>99</v>
      </c>
      <c r="C103" s="83">
        <v>28.96</v>
      </c>
      <c r="D103" s="113">
        <v>70</v>
      </c>
      <c r="E103" s="14">
        <v>35</v>
      </c>
      <c r="F103" s="103">
        <f>1.73*37*265/1000</f>
        <v>16.96265</v>
      </c>
      <c r="G103" s="79">
        <f>31150/744000</f>
        <v>4.1868279569892475E-2</v>
      </c>
      <c r="H103" s="103">
        <f t="shared" si="1"/>
        <v>16.920781720430107</v>
      </c>
      <c r="I103" s="85"/>
      <c r="J103" s="85"/>
      <c r="K103" s="85"/>
    </row>
    <row r="104" spans="1:11" x14ac:dyDescent="0.25">
      <c r="A104" s="93">
        <v>36</v>
      </c>
      <c r="B104" s="10" t="s">
        <v>100</v>
      </c>
      <c r="C104" s="84">
        <v>15</v>
      </c>
      <c r="D104" s="114">
        <v>70</v>
      </c>
      <c r="E104" s="11">
        <v>35</v>
      </c>
      <c r="F104" s="104">
        <f>1.73*37*265/1000</f>
        <v>16.96265</v>
      </c>
      <c r="G104" s="94">
        <f>233548/744000</f>
        <v>0.31390860215053762</v>
      </c>
      <c r="H104" s="104">
        <f t="shared" si="1"/>
        <v>16.648741397849463</v>
      </c>
      <c r="I104" s="85"/>
      <c r="J104" s="85"/>
      <c r="K104" s="85"/>
    </row>
    <row r="105" spans="1:11" x14ac:dyDescent="0.25">
      <c r="A105" s="96">
        <v>37</v>
      </c>
      <c r="B105" s="12" t="s">
        <v>101</v>
      </c>
      <c r="C105" s="81">
        <v>35.26</v>
      </c>
      <c r="D105" s="111">
        <v>70</v>
      </c>
      <c r="E105" s="13">
        <v>35</v>
      </c>
      <c r="F105" s="105">
        <f>1.73*37*265/1000</f>
        <v>16.96265</v>
      </c>
      <c r="G105" s="55">
        <f>492555/744000</f>
        <v>0.6620362903225806</v>
      </c>
      <c r="H105" s="105">
        <f t="shared" si="1"/>
        <v>16.300613709677421</v>
      </c>
      <c r="I105" s="85"/>
      <c r="J105" s="85"/>
      <c r="K105" s="85"/>
    </row>
    <row r="106" spans="1:11" x14ac:dyDescent="0.25">
      <c r="A106" s="100"/>
      <c r="B106" s="80" t="s">
        <v>102</v>
      </c>
      <c r="C106" s="82"/>
      <c r="D106" s="112"/>
      <c r="E106" s="80"/>
      <c r="F106" s="106"/>
      <c r="G106" s="73"/>
      <c r="H106" s="106"/>
      <c r="I106" s="85"/>
      <c r="J106" s="85"/>
      <c r="K106" s="85"/>
    </row>
    <row r="107" spans="1:11" x14ac:dyDescent="0.25">
      <c r="A107" s="91">
        <v>38</v>
      </c>
      <c r="B107" s="9" t="s">
        <v>103</v>
      </c>
      <c r="C107" s="83">
        <v>40.75</v>
      </c>
      <c r="D107" s="113">
        <v>70</v>
      </c>
      <c r="E107" s="14">
        <v>35</v>
      </c>
      <c r="F107" s="103">
        <f>1.73*37*265/1000</f>
        <v>16.96265</v>
      </c>
      <c r="G107" s="79">
        <f>112959/744000</f>
        <v>0.1518266129032258</v>
      </c>
      <c r="H107" s="103">
        <f t="shared" si="1"/>
        <v>16.810823387096775</v>
      </c>
      <c r="I107" s="85"/>
      <c r="J107" s="85"/>
      <c r="K107" s="85"/>
    </row>
    <row r="108" spans="1:11" x14ac:dyDescent="0.25">
      <c r="A108" s="96">
        <v>39</v>
      </c>
      <c r="B108" s="12" t="s">
        <v>104</v>
      </c>
      <c r="C108" s="81">
        <v>38.14</v>
      </c>
      <c r="D108" s="111">
        <v>120</v>
      </c>
      <c r="E108" s="13">
        <v>35</v>
      </c>
      <c r="F108" s="105">
        <f>1.73*37*380/1000</f>
        <v>24.323800000000002</v>
      </c>
      <c r="G108" s="55">
        <f>88893/744000</f>
        <v>0.11947983870967742</v>
      </c>
      <c r="H108" s="105">
        <f t="shared" si="1"/>
        <v>24.204320161290326</v>
      </c>
      <c r="I108" s="85"/>
      <c r="J108" s="85"/>
      <c r="K108" s="85"/>
    </row>
    <row r="109" spans="1:11" x14ac:dyDescent="0.25">
      <c r="A109" s="86"/>
      <c r="B109" s="85"/>
      <c r="C109" s="85"/>
      <c r="D109" s="85"/>
      <c r="E109" s="86"/>
      <c r="F109" s="85"/>
      <c r="G109" s="87"/>
      <c r="H109" s="88"/>
      <c r="I109" s="85"/>
      <c r="J109" s="85"/>
      <c r="K109" s="85"/>
    </row>
    <row r="110" spans="1:11" x14ac:dyDescent="0.25">
      <c r="A110" s="86"/>
      <c r="B110" s="85"/>
      <c r="C110" s="85"/>
      <c r="D110" s="85"/>
      <c r="E110" s="86"/>
      <c r="F110" s="85"/>
      <c r="G110" s="87"/>
      <c r="H110" s="88"/>
      <c r="I110" s="85"/>
      <c r="J110" s="85"/>
      <c r="K110" s="85"/>
    </row>
    <row r="111" spans="1:11" x14ac:dyDescent="0.25">
      <c r="A111" s="86"/>
      <c r="B111" s="85"/>
      <c r="C111" s="85"/>
      <c r="D111" s="85"/>
      <c r="E111" s="86"/>
      <c r="F111" s="85"/>
      <c r="G111" s="87"/>
      <c r="H111" s="88"/>
      <c r="I111" s="85"/>
      <c r="J111" s="85"/>
      <c r="K111" s="85"/>
    </row>
    <row r="112" spans="1:11" x14ac:dyDescent="0.25">
      <c r="A112" s="86"/>
      <c r="B112" s="85"/>
      <c r="C112" s="85"/>
      <c r="D112" s="85"/>
      <c r="E112" s="86"/>
      <c r="F112" s="85"/>
      <c r="G112" s="87"/>
      <c r="H112" s="88"/>
      <c r="I112" s="85"/>
      <c r="J112" s="85"/>
      <c r="K112" s="85"/>
    </row>
    <row r="113" spans="1:11" x14ac:dyDescent="0.25">
      <c r="A113" s="86"/>
      <c r="B113" s="85"/>
      <c r="C113" s="85"/>
      <c r="D113" s="85"/>
      <c r="E113" s="86"/>
      <c r="F113" s="85"/>
      <c r="G113" s="87"/>
      <c r="H113" s="88"/>
      <c r="I113" s="85"/>
      <c r="J113" s="85"/>
      <c r="K113" s="85"/>
    </row>
    <row r="114" spans="1:11" x14ac:dyDescent="0.25">
      <c r="A114" s="86"/>
      <c r="B114" s="85"/>
      <c r="C114" s="85"/>
      <c r="D114" s="85"/>
      <c r="E114" s="86"/>
      <c r="F114" s="85"/>
      <c r="G114" s="87"/>
      <c r="H114" s="88"/>
      <c r="I114" s="85"/>
      <c r="J114" s="85"/>
      <c r="K114" s="85"/>
    </row>
    <row r="115" spans="1:11" x14ac:dyDescent="0.25">
      <c r="A115" s="86"/>
      <c r="B115" s="85"/>
      <c r="C115" s="85"/>
      <c r="D115" s="85"/>
      <c r="E115" s="86"/>
      <c r="F115" s="85"/>
      <c r="G115" s="87"/>
      <c r="H115" s="88"/>
      <c r="I115" s="85"/>
      <c r="J115" s="85"/>
      <c r="K115" s="85"/>
    </row>
    <row r="116" spans="1:11" x14ac:dyDescent="0.25">
      <c r="A116" s="86"/>
      <c r="B116" s="85"/>
      <c r="C116" s="85"/>
      <c r="D116" s="85"/>
      <c r="E116" s="86"/>
      <c r="F116" s="85"/>
      <c r="G116" s="87"/>
      <c r="H116" s="88"/>
      <c r="I116" s="85"/>
      <c r="J116" s="85"/>
      <c r="K116" s="85"/>
    </row>
    <row r="117" spans="1:11" x14ac:dyDescent="0.25">
      <c r="A117" s="86"/>
      <c r="B117" s="85"/>
      <c r="C117" s="85"/>
      <c r="D117" s="85"/>
      <c r="E117" s="86"/>
      <c r="F117" s="85"/>
      <c r="G117" s="87"/>
      <c r="H117" s="88"/>
      <c r="I117" s="85"/>
      <c r="J117" s="85"/>
      <c r="K117" s="85"/>
    </row>
    <row r="118" spans="1:11" x14ac:dyDescent="0.25">
      <c r="A118" s="86"/>
      <c r="B118" s="85"/>
      <c r="C118" s="85"/>
      <c r="D118" s="85"/>
      <c r="E118" s="86"/>
      <c r="F118" s="85"/>
      <c r="G118" s="87"/>
      <c r="H118" s="88"/>
      <c r="I118" s="85"/>
      <c r="J118" s="85"/>
      <c r="K118" s="85"/>
    </row>
    <row r="119" spans="1:11" x14ac:dyDescent="0.25">
      <c r="A119" s="86"/>
      <c r="B119" s="85"/>
      <c r="C119" s="85"/>
      <c r="D119" s="85"/>
      <c r="E119" s="86"/>
      <c r="F119" s="85"/>
      <c r="G119" s="87"/>
      <c r="H119" s="88"/>
      <c r="I119" s="85"/>
      <c r="J119" s="85"/>
      <c r="K119" s="85"/>
    </row>
    <row r="120" spans="1:11" x14ac:dyDescent="0.25">
      <c r="A120" s="86"/>
      <c r="B120" s="85"/>
      <c r="C120" s="85"/>
      <c r="D120" s="85"/>
      <c r="E120" s="86"/>
      <c r="F120" s="85"/>
      <c r="G120" s="87"/>
      <c r="H120" s="88"/>
      <c r="I120" s="85"/>
      <c r="J120" s="85"/>
      <c r="K120" s="85"/>
    </row>
    <row r="121" spans="1:11" x14ac:dyDescent="0.25">
      <c r="A121" s="86"/>
      <c r="B121" s="85"/>
      <c r="C121" s="85"/>
      <c r="D121" s="85"/>
      <c r="E121" s="86"/>
      <c r="F121" s="85"/>
      <c r="G121" s="87"/>
      <c r="H121" s="88"/>
      <c r="I121" s="85"/>
      <c r="J121" s="85"/>
      <c r="K121" s="85"/>
    </row>
    <row r="122" spans="1:11" x14ac:dyDescent="0.25">
      <c r="A122" s="86"/>
      <c r="B122" s="85"/>
      <c r="C122" s="85"/>
      <c r="D122" s="85"/>
      <c r="E122" s="86"/>
      <c r="F122" s="85"/>
      <c r="G122" s="87"/>
      <c r="H122" s="88"/>
      <c r="I122" s="85"/>
      <c r="J122" s="85"/>
      <c r="K122" s="85"/>
    </row>
    <row r="123" spans="1:11" x14ac:dyDescent="0.25">
      <c r="A123" s="86"/>
      <c r="B123" s="85"/>
      <c r="C123" s="85"/>
      <c r="D123" s="85"/>
      <c r="E123" s="86"/>
      <c r="F123" s="85"/>
      <c r="G123" s="87"/>
      <c r="H123" s="88"/>
      <c r="I123" s="85"/>
      <c r="J123" s="85"/>
      <c r="K123" s="85"/>
    </row>
    <row r="124" spans="1:11" x14ac:dyDescent="0.25">
      <c r="A124" s="86"/>
      <c r="B124" s="85"/>
      <c r="C124" s="85"/>
      <c r="D124" s="85"/>
      <c r="E124" s="86"/>
      <c r="F124" s="85"/>
      <c r="G124" s="87"/>
      <c r="H124" s="88"/>
      <c r="I124" s="85"/>
      <c r="J124" s="85"/>
      <c r="K124" s="85"/>
    </row>
    <row r="125" spans="1:11" x14ac:dyDescent="0.25">
      <c r="A125" s="86"/>
      <c r="B125" s="85"/>
      <c r="C125" s="85"/>
      <c r="D125" s="85"/>
      <c r="E125" s="86"/>
      <c r="F125" s="85"/>
      <c r="G125" s="87"/>
      <c r="H125" s="88"/>
      <c r="I125" s="85"/>
      <c r="J125" s="85"/>
      <c r="K125" s="85"/>
    </row>
    <row r="126" spans="1:11" x14ac:dyDescent="0.25">
      <c r="A126" s="86"/>
      <c r="B126" s="85"/>
      <c r="C126" s="85"/>
      <c r="D126" s="85"/>
      <c r="E126" s="86"/>
      <c r="F126" s="85"/>
      <c r="G126" s="87"/>
      <c r="H126" s="88"/>
      <c r="I126" s="85"/>
      <c r="J126" s="85"/>
      <c r="K126" s="85"/>
    </row>
    <row r="127" spans="1:11" x14ac:dyDescent="0.25">
      <c r="A127" s="86"/>
      <c r="B127" s="85"/>
      <c r="C127" s="85"/>
      <c r="D127" s="85"/>
      <c r="E127" s="86"/>
      <c r="F127" s="85"/>
      <c r="G127" s="87"/>
      <c r="H127" s="88"/>
      <c r="I127" s="85"/>
      <c r="J127" s="85"/>
      <c r="K127" s="85"/>
    </row>
    <row r="128" spans="1:11" x14ac:dyDescent="0.25">
      <c r="A128" s="86"/>
      <c r="B128" s="85"/>
      <c r="C128" s="85"/>
      <c r="D128" s="85"/>
      <c r="E128" s="86"/>
      <c r="F128" s="85"/>
      <c r="G128" s="87"/>
      <c r="H128" s="88"/>
      <c r="I128" s="85"/>
      <c r="J128" s="85"/>
      <c r="K128" s="85"/>
    </row>
    <row r="129" spans="1:11" x14ac:dyDescent="0.25">
      <c r="A129" s="86"/>
      <c r="B129" s="85"/>
      <c r="C129" s="85"/>
      <c r="D129" s="85"/>
      <c r="E129" s="86"/>
      <c r="F129" s="85"/>
      <c r="G129" s="87"/>
      <c r="H129" s="88"/>
      <c r="I129" s="85"/>
      <c r="J129" s="85"/>
      <c r="K129" s="85"/>
    </row>
    <row r="130" spans="1:11" x14ac:dyDescent="0.25">
      <c r="A130" s="86"/>
      <c r="B130" s="85"/>
      <c r="C130" s="85"/>
      <c r="D130" s="85"/>
      <c r="E130" s="86"/>
      <c r="F130" s="85"/>
      <c r="G130" s="87"/>
      <c r="H130" s="88"/>
      <c r="I130" s="85"/>
      <c r="J130" s="85"/>
      <c r="K130" s="85"/>
    </row>
    <row r="131" spans="1:11" x14ac:dyDescent="0.25">
      <c r="A131" s="86"/>
      <c r="B131" s="85"/>
      <c r="C131" s="85"/>
      <c r="D131" s="85"/>
      <c r="E131" s="86"/>
      <c r="F131" s="85"/>
      <c r="G131" s="87"/>
      <c r="H131" s="88"/>
      <c r="I131" s="85"/>
      <c r="J131" s="85"/>
      <c r="K131" s="85"/>
    </row>
    <row r="132" spans="1:11" x14ac:dyDescent="0.25">
      <c r="A132" s="86"/>
      <c r="B132" s="85"/>
      <c r="C132" s="85"/>
      <c r="D132" s="85"/>
      <c r="E132" s="86"/>
      <c r="F132" s="85"/>
      <c r="G132" s="87"/>
      <c r="H132" s="88"/>
      <c r="I132" s="85"/>
      <c r="J132" s="85"/>
      <c r="K132" s="85"/>
    </row>
    <row r="133" spans="1:11" x14ac:dyDescent="0.25">
      <c r="A133" s="86"/>
      <c r="B133" s="85"/>
      <c r="C133" s="85"/>
      <c r="D133" s="85"/>
      <c r="E133" s="86"/>
      <c r="F133" s="85"/>
      <c r="G133" s="87"/>
      <c r="H133" s="88"/>
      <c r="I133" s="85"/>
      <c r="J133" s="85"/>
      <c r="K133" s="85"/>
    </row>
    <row r="134" spans="1:11" x14ac:dyDescent="0.25">
      <c r="A134" s="86"/>
      <c r="B134" s="85"/>
      <c r="C134" s="85"/>
      <c r="D134" s="85"/>
      <c r="E134" s="86"/>
      <c r="F134" s="85"/>
      <c r="G134" s="87"/>
      <c r="H134" s="88"/>
      <c r="I134" s="85"/>
      <c r="J134" s="85"/>
      <c r="K134" s="85"/>
    </row>
    <row r="135" spans="1:11" x14ac:dyDescent="0.25">
      <c r="A135" s="86"/>
      <c r="B135" s="85"/>
      <c r="C135" s="85"/>
      <c r="D135" s="85"/>
      <c r="E135" s="86"/>
      <c r="F135" s="85"/>
      <c r="G135" s="87"/>
      <c r="H135" s="88"/>
      <c r="I135" s="85"/>
      <c r="J135" s="85"/>
      <c r="K135" s="85"/>
    </row>
    <row r="136" spans="1:11" x14ac:dyDescent="0.25">
      <c r="A136" s="86"/>
      <c r="B136" s="85"/>
      <c r="C136" s="85"/>
      <c r="D136" s="85"/>
      <c r="E136" s="86"/>
      <c r="F136" s="85"/>
      <c r="G136" s="87"/>
      <c r="H136" s="88"/>
      <c r="I136" s="85"/>
      <c r="J136" s="85"/>
      <c r="K136" s="85"/>
    </row>
    <row r="137" spans="1:11" x14ac:dyDescent="0.25">
      <c r="A137" s="86"/>
      <c r="B137" s="85"/>
      <c r="C137" s="85"/>
      <c r="D137" s="85"/>
      <c r="E137" s="86"/>
      <c r="F137" s="85"/>
      <c r="G137" s="87"/>
      <c r="H137" s="88"/>
      <c r="I137" s="85"/>
      <c r="J137" s="85"/>
      <c r="K137" s="85"/>
    </row>
    <row r="138" spans="1:11" x14ac:dyDescent="0.25">
      <c r="A138" s="86"/>
      <c r="B138" s="85"/>
      <c r="C138" s="85"/>
      <c r="D138" s="85"/>
      <c r="E138" s="86"/>
      <c r="F138" s="85"/>
      <c r="G138" s="87"/>
      <c r="H138" s="88"/>
      <c r="I138" s="85"/>
      <c r="J138" s="85"/>
      <c r="K138" s="85"/>
    </row>
    <row r="139" spans="1:11" x14ac:dyDescent="0.25">
      <c r="A139" s="86"/>
      <c r="B139" s="85"/>
      <c r="C139" s="85"/>
      <c r="D139" s="85"/>
      <c r="E139" s="86"/>
      <c r="F139" s="85"/>
      <c r="G139" s="87"/>
      <c r="H139" s="88"/>
      <c r="I139" s="85"/>
      <c r="J139" s="85"/>
      <c r="K139" s="85"/>
    </row>
    <row r="140" spans="1:11" x14ac:dyDescent="0.25">
      <c r="A140" s="86"/>
      <c r="B140" s="85"/>
      <c r="C140" s="85"/>
      <c r="D140" s="85"/>
      <c r="E140" s="86"/>
      <c r="F140" s="85"/>
      <c r="G140" s="87"/>
      <c r="H140" s="88"/>
      <c r="I140" s="85"/>
      <c r="J140" s="85"/>
      <c r="K140" s="85"/>
    </row>
    <row r="141" spans="1:11" x14ac:dyDescent="0.25">
      <c r="A141" s="86"/>
      <c r="B141" s="85"/>
      <c r="C141" s="85"/>
      <c r="D141" s="85"/>
      <c r="E141" s="86"/>
      <c r="F141" s="85"/>
      <c r="G141" s="87"/>
      <c r="H141" s="88"/>
      <c r="I141" s="85"/>
      <c r="J141" s="85"/>
      <c r="K141" s="85"/>
    </row>
    <row r="142" spans="1:11" x14ac:dyDescent="0.25">
      <c r="A142" s="86"/>
      <c r="B142" s="85"/>
      <c r="C142" s="85"/>
      <c r="D142" s="85"/>
      <c r="E142" s="86"/>
      <c r="F142" s="85"/>
      <c r="G142" s="87"/>
      <c r="H142" s="88"/>
      <c r="I142" s="85"/>
      <c r="J142" s="85"/>
      <c r="K142" s="85"/>
    </row>
    <row r="143" spans="1:11" x14ac:dyDescent="0.25">
      <c r="A143" s="86"/>
      <c r="B143" s="85"/>
      <c r="C143" s="85"/>
      <c r="D143" s="85"/>
      <c r="E143" s="86"/>
      <c r="F143" s="85"/>
      <c r="G143" s="87"/>
      <c r="H143" s="88"/>
      <c r="I143" s="85"/>
      <c r="J143" s="85"/>
      <c r="K143" s="85"/>
    </row>
    <row r="144" spans="1:11" x14ac:dyDescent="0.25">
      <c r="A144" s="86"/>
      <c r="B144" s="85"/>
      <c r="C144" s="85"/>
      <c r="D144" s="85"/>
      <c r="E144" s="86"/>
      <c r="F144" s="85"/>
      <c r="G144" s="87"/>
      <c r="H144" s="88"/>
      <c r="I144" s="85"/>
      <c r="J144" s="85"/>
      <c r="K144" s="85"/>
    </row>
    <row r="145" spans="1:11" x14ac:dyDescent="0.25">
      <c r="A145" s="86"/>
      <c r="B145" s="85"/>
      <c r="C145" s="85"/>
      <c r="D145" s="85"/>
      <c r="E145" s="86"/>
      <c r="F145" s="85"/>
      <c r="G145" s="87"/>
      <c r="H145" s="88"/>
      <c r="I145" s="85"/>
      <c r="J145" s="85"/>
      <c r="K145" s="85"/>
    </row>
    <row r="146" spans="1:11" x14ac:dyDescent="0.25">
      <c r="A146" s="86"/>
      <c r="B146" s="85"/>
      <c r="C146" s="85"/>
      <c r="D146" s="85"/>
      <c r="E146" s="86"/>
      <c r="F146" s="85"/>
      <c r="G146" s="87"/>
      <c r="H146" s="88"/>
      <c r="I146" s="85"/>
      <c r="J146" s="85"/>
      <c r="K146" s="85"/>
    </row>
    <row r="147" spans="1:11" x14ac:dyDescent="0.25">
      <c r="A147" s="86"/>
      <c r="B147" s="85"/>
      <c r="C147" s="85"/>
      <c r="D147" s="85"/>
      <c r="E147" s="86"/>
      <c r="F147" s="85"/>
      <c r="G147" s="87"/>
      <c r="H147" s="88"/>
      <c r="I147" s="85"/>
      <c r="J147" s="85"/>
      <c r="K147" s="85"/>
    </row>
    <row r="148" spans="1:11" x14ac:dyDescent="0.25">
      <c r="A148" s="86"/>
      <c r="B148" s="85"/>
      <c r="C148" s="85"/>
      <c r="D148" s="85"/>
      <c r="E148" s="86"/>
      <c r="F148" s="85"/>
      <c r="G148" s="87"/>
      <c r="H148" s="88"/>
      <c r="I148" s="85"/>
      <c r="J148" s="85"/>
      <c r="K148" s="85"/>
    </row>
    <row r="149" spans="1:11" x14ac:dyDescent="0.25">
      <c r="A149" s="86"/>
      <c r="B149" s="85"/>
      <c r="C149" s="85"/>
      <c r="D149" s="85"/>
      <c r="E149" s="86"/>
      <c r="F149" s="85"/>
      <c r="G149" s="87"/>
      <c r="H149" s="88"/>
      <c r="I149" s="85"/>
      <c r="J149" s="85"/>
      <c r="K149" s="85"/>
    </row>
    <row r="150" spans="1:11" x14ac:dyDescent="0.25">
      <c r="A150" s="86"/>
      <c r="B150" s="85"/>
      <c r="C150" s="85"/>
      <c r="D150" s="85"/>
      <c r="E150" s="86"/>
      <c r="F150" s="85"/>
      <c r="G150" s="87"/>
      <c r="H150" s="88"/>
      <c r="I150" s="85"/>
      <c r="J150" s="85"/>
      <c r="K150" s="85"/>
    </row>
    <row r="151" spans="1:11" x14ac:dyDescent="0.25">
      <c r="A151" s="86"/>
      <c r="B151" s="85"/>
      <c r="C151" s="85"/>
      <c r="D151" s="85"/>
      <c r="E151" s="86"/>
      <c r="F151" s="85"/>
      <c r="G151" s="87"/>
      <c r="H151" s="88"/>
      <c r="I151" s="85"/>
      <c r="J151" s="85"/>
      <c r="K151" s="85"/>
    </row>
    <row r="152" spans="1:11" x14ac:dyDescent="0.25">
      <c r="A152" s="86"/>
      <c r="B152" s="85"/>
      <c r="C152" s="85"/>
      <c r="D152" s="85"/>
      <c r="E152" s="86"/>
      <c r="F152" s="85"/>
      <c r="G152" s="87"/>
      <c r="H152" s="88"/>
      <c r="I152" s="85"/>
      <c r="J152" s="85"/>
      <c r="K152" s="85"/>
    </row>
    <row r="153" spans="1:11" x14ac:dyDescent="0.25">
      <c r="A153" s="86"/>
      <c r="B153" s="85"/>
      <c r="C153" s="85"/>
      <c r="D153" s="85"/>
      <c r="E153" s="86"/>
      <c r="F153" s="85"/>
      <c r="G153" s="87"/>
      <c r="H153" s="88"/>
      <c r="I153" s="85"/>
      <c r="J153" s="85"/>
      <c r="K153" s="85"/>
    </row>
    <row r="154" spans="1:11" x14ac:dyDescent="0.25">
      <c r="A154" s="86"/>
      <c r="B154" s="85"/>
      <c r="C154" s="85"/>
      <c r="D154" s="85"/>
      <c r="E154" s="86"/>
      <c r="F154" s="85"/>
      <c r="G154" s="87"/>
      <c r="H154" s="88"/>
      <c r="I154" s="85"/>
      <c r="J154" s="85"/>
      <c r="K154" s="85"/>
    </row>
    <row r="155" spans="1:11" x14ac:dyDescent="0.25">
      <c r="A155" s="86"/>
      <c r="B155" s="85"/>
      <c r="C155" s="85"/>
      <c r="D155" s="85"/>
      <c r="E155" s="86"/>
      <c r="F155" s="85"/>
      <c r="G155" s="87"/>
      <c r="H155" s="88"/>
      <c r="I155" s="85"/>
      <c r="J155" s="85"/>
      <c r="K155" s="85"/>
    </row>
    <row r="156" spans="1:11" x14ac:dyDescent="0.25">
      <c r="A156" s="86"/>
      <c r="B156" s="85"/>
      <c r="C156" s="85"/>
      <c r="D156" s="85"/>
      <c r="E156" s="86"/>
      <c r="F156" s="85"/>
      <c r="G156" s="87"/>
      <c r="H156" s="88"/>
      <c r="I156" s="85"/>
      <c r="J156" s="85"/>
      <c r="K156" s="85"/>
    </row>
    <row r="157" spans="1:11" x14ac:dyDescent="0.25">
      <c r="A157" s="86"/>
      <c r="B157" s="85"/>
      <c r="C157" s="85"/>
      <c r="D157" s="85"/>
      <c r="E157" s="86"/>
      <c r="F157" s="85"/>
      <c r="G157" s="87"/>
      <c r="H157" s="88"/>
      <c r="I157" s="85"/>
      <c r="J157" s="85"/>
      <c r="K157" s="85"/>
    </row>
    <row r="158" spans="1:11" x14ac:dyDescent="0.25">
      <c r="A158" s="86"/>
      <c r="B158" s="85"/>
      <c r="C158" s="85"/>
      <c r="D158" s="85"/>
      <c r="E158" s="86"/>
      <c r="F158" s="85"/>
      <c r="G158" s="87"/>
      <c r="H158" s="88"/>
      <c r="I158" s="85"/>
      <c r="J158" s="85"/>
      <c r="K158" s="85"/>
    </row>
    <row r="159" spans="1:11" x14ac:dyDescent="0.25">
      <c r="A159" s="86"/>
      <c r="B159" s="85"/>
      <c r="C159" s="85"/>
      <c r="D159" s="85"/>
      <c r="E159" s="86"/>
      <c r="F159" s="85"/>
      <c r="G159" s="87"/>
      <c r="H159" s="88"/>
      <c r="I159" s="85"/>
      <c r="J159" s="85"/>
      <c r="K159" s="85"/>
    </row>
    <row r="160" spans="1:11" x14ac:dyDescent="0.25">
      <c r="A160" s="86"/>
      <c r="B160" s="85"/>
      <c r="C160" s="85"/>
      <c r="D160" s="85"/>
      <c r="E160" s="86"/>
      <c r="F160" s="85"/>
      <c r="G160" s="87"/>
      <c r="H160" s="88"/>
      <c r="I160" s="85"/>
      <c r="J160" s="85"/>
      <c r="K160" s="85"/>
    </row>
    <row r="161" spans="1:11" x14ac:dyDescent="0.25">
      <c r="A161" s="86"/>
      <c r="B161" s="85"/>
      <c r="C161" s="85"/>
      <c r="D161" s="85"/>
      <c r="E161" s="86"/>
      <c r="F161" s="85"/>
      <c r="G161" s="87"/>
      <c r="H161" s="88"/>
      <c r="I161" s="85"/>
      <c r="J161" s="85"/>
      <c r="K161" s="85"/>
    </row>
    <row r="162" spans="1:11" x14ac:dyDescent="0.25">
      <c r="A162" s="86"/>
      <c r="B162" s="85"/>
      <c r="C162" s="85"/>
      <c r="D162" s="85"/>
      <c r="E162" s="86"/>
      <c r="F162" s="85"/>
      <c r="G162" s="87"/>
      <c r="H162" s="88"/>
      <c r="I162" s="85"/>
      <c r="J162" s="85"/>
      <c r="K162" s="85"/>
    </row>
    <row r="163" spans="1:11" x14ac:dyDescent="0.25">
      <c r="A163" s="86"/>
      <c r="B163" s="85"/>
      <c r="C163" s="85"/>
      <c r="D163" s="85"/>
      <c r="E163" s="86"/>
      <c r="F163" s="85"/>
      <c r="G163" s="87"/>
      <c r="H163" s="88"/>
      <c r="I163" s="85"/>
      <c r="J163" s="85"/>
      <c r="K163" s="85"/>
    </row>
    <row r="164" spans="1:11" x14ac:dyDescent="0.25">
      <c r="A164" s="86"/>
      <c r="B164" s="85"/>
      <c r="C164" s="85"/>
      <c r="D164" s="85"/>
      <c r="E164" s="86"/>
      <c r="F164" s="85"/>
      <c r="G164" s="87"/>
      <c r="H164" s="88"/>
      <c r="I164" s="85"/>
      <c r="J164" s="85"/>
      <c r="K164" s="85"/>
    </row>
    <row r="165" spans="1:11" x14ac:dyDescent="0.25">
      <c r="A165" s="86"/>
      <c r="B165" s="85"/>
      <c r="C165" s="85"/>
      <c r="D165" s="85"/>
      <c r="E165" s="86"/>
      <c r="F165" s="85"/>
      <c r="G165" s="87"/>
      <c r="H165" s="88"/>
      <c r="I165" s="85"/>
      <c r="J165" s="85"/>
      <c r="K165" s="85"/>
    </row>
    <row r="166" spans="1:11" x14ac:dyDescent="0.25">
      <c r="A166" s="86"/>
      <c r="B166" s="85"/>
      <c r="C166" s="85"/>
      <c r="D166" s="85"/>
      <c r="E166" s="86"/>
      <c r="F166" s="85"/>
      <c r="G166" s="87"/>
      <c r="H166" s="88"/>
      <c r="I166" s="85"/>
      <c r="J166" s="85"/>
      <c r="K166" s="85"/>
    </row>
    <row r="167" spans="1:11" x14ac:dyDescent="0.25">
      <c r="A167" s="86"/>
      <c r="B167" s="85"/>
      <c r="C167" s="85"/>
      <c r="D167" s="85"/>
      <c r="E167" s="86"/>
      <c r="F167" s="85"/>
      <c r="G167" s="87"/>
      <c r="H167" s="88"/>
      <c r="I167" s="85"/>
      <c r="J167" s="85"/>
      <c r="K167" s="85"/>
    </row>
    <row r="168" spans="1:11" x14ac:dyDescent="0.25">
      <c r="A168" s="86"/>
      <c r="B168" s="85"/>
      <c r="C168" s="85"/>
      <c r="D168" s="85"/>
      <c r="E168" s="86"/>
      <c r="F168" s="85"/>
      <c r="G168" s="87"/>
      <c r="H168" s="88"/>
      <c r="I168" s="85"/>
      <c r="J168" s="85"/>
      <c r="K168" s="85"/>
    </row>
    <row r="169" spans="1:11" x14ac:dyDescent="0.25">
      <c r="A169" s="86"/>
      <c r="B169" s="85"/>
      <c r="C169" s="85"/>
      <c r="D169" s="85"/>
      <c r="E169" s="86"/>
      <c r="F169" s="85"/>
      <c r="G169" s="87"/>
      <c r="H169" s="88"/>
      <c r="I169" s="85"/>
      <c r="J169" s="85"/>
      <c r="K169" s="85"/>
    </row>
    <row r="170" spans="1:11" x14ac:dyDescent="0.25">
      <c r="A170" s="86"/>
      <c r="B170" s="85"/>
      <c r="C170" s="85"/>
      <c r="D170" s="85"/>
      <c r="E170" s="86"/>
      <c r="F170" s="85"/>
      <c r="G170" s="87"/>
      <c r="H170" s="88"/>
      <c r="I170" s="85"/>
      <c r="J170" s="85"/>
      <c r="K170" s="85"/>
    </row>
    <row r="171" spans="1:11" x14ac:dyDescent="0.25">
      <c r="A171" s="86"/>
      <c r="B171" s="85"/>
      <c r="C171" s="85"/>
      <c r="D171" s="85"/>
      <c r="E171" s="86"/>
      <c r="F171" s="85"/>
      <c r="G171" s="87"/>
      <c r="H171" s="88"/>
      <c r="I171" s="85"/>
      <c r="J171" s="85"/>
      <c r="K171" s="85"/>
    </row>
    <row r="172" spans="1:11" x14ac:dyDescent="0.25">
      <c r="A172" s="86"/>
      <c r="B172" s="85"/>
      <c r="C172" s="85"/>
      <c r="D172" s="85"/>
      <c r="E172" s="86"/>
      <c r="F172" s="85"/>
      <c r="G172" s="87"/>
      <c r="H172" s="88"/>
      <c r="I172" s="85"/>
      <c r="J172" s="85"/>
      <c r="K172" s="85"/>
    </row>
    <row r="173" spans="1:11" x14ac:dyDescent="0.25">
      <c r="A173" s="86"/>
      <c r="B173" s="85"/>
      <c r="C173" s="85"/>
      <c r="D173" s="85"/>
      <c r="E173" s="86"/>
      <c r="F173" s="85"/>
      <c r="G173" s="87"/>
      <c r="H173" s="88"/>
      <c r="I173" s="85"/>
      <c r="J173" s="85"/>
      <c r="K173" s="85"/>
    </row>
    <row r="174" spans="1:11" x14ac:dyDescent="0.25">
      <c r="A174" s="86"/>
      <c r="B174" s="85"/>
      <c r="C174" s="85"/>
      <c r="D174" s="85"/>
      <c r="E174" s="86"/>
      <c r="F174" s="85"/>
      <c r="G174" s="87"/>
      <c r="H174" s="88"/>
      <c r="I174" s="85"/>
      <c r="J174" s="85"/>
      <c r="K174" s="85"/>
    </row>
    <row r="175" spans="1:11" x14ac:dyDescent="0.25">
      <c r="A175" s="86"/>
      <c r="B175" s="85"/>
      <c r="C175" s="85"/>
      <c r="D175" s="85"/>
      <c r="E175" s="86"/>
      <c r="F175" s="85"/>
      <c r="G175" s="87"/>
      <c r="H175" s="88"/>
      <c r="I175" s="85"/>
      <c r="J175" s="85"/>
      <c r="K175" s="85"/>
    </row>
    <row r="176" spans="1:11" x14ac:dyDescent="0.25">
      <c r="A176" s="86"/>
      <c r="B176" s="85"/>
      <c r="C176" s="85"/>
      <c r="D176" s="85"/>
      <c r="E176" s="86"/>
      <c r="F176" s="85"/>
      <c r="G176" s="87"/>
      <c r="H176" s="88"/>
      <c r="I176" s="85"/>
      <c r="J176" s="85"/>
      <c r="K176" s="85"/>
    </row>
    <row r="177" spans="1:11" x14ac:dyDescent="0.25">
      <c r="A177" s="86"/>
      <c r="B177" s="85"/>
      <c r="C177" s="85"/>
      <c r="D177" s="85"/>
      <c r="E177" s="86"/>
      <c r="F177" s="85"/>
      <c r="G177" s="87"/>
      <c r="H177" s="88"/>
      <c r="I177" s="85"/>
      <c r="J177" s="85"/>
      <c r="K177" s="85"/>
    </row>
    <row r="178" spans="1:11" x14ac:dyDescent="0.25">
      <c r="A178" s="86"/>
      <c r="B178" s="85"/>
      <c r="C178" s="85"/>
      <c r="D178" s="85"/>
      <c r="E178" s="86"/>
      <c r="F178" s="85"/>
      <c r="G178" s="87"/>
      <c r="H178" s="88"/>
      <c r="I178" s="85"/>
      <c r="J178" s="85"/>
      <c r="K178" s="85"/>
    </row>
    <row r="179" spans="1:11" x14ac:dyDescent="0.25">
      <c r="A179" s="86"/>
      <c r="B179" s="85"/>
      <c r="C179" s="85"/>
      <c r="D179" s="85"/>
      <c r="E179" s="86"/>
      <c r="F179" s="85"/>
      <c r="G179" s="87"/>
      <c r="H179" s="88"/>
      <c r="I179" s="85"/>
      <c r="J179" s="85"/>
      <c r="K179" s="85"/>
    </row>
    <row r="180" spans="1:11" x14ac:dyDescent="0.25">
      <c r="A180" s="86"/>
      <c r="B180" s="85"/>
      <c r="C180" s="85"/>
      <c r="D180" s="85"/>
      <c r="E180" s="86"/>
      <c r="F180" s="85"/>
      <c r="G180" s="87"/>
      <c r="H180" s="88"/>
      <c r="I180" s="85"/>
      <c r="J180" s="85"/>
      <c r="K180" s="85"/>
    </row>
    <row r="181" spans="1:11" x14ac:dyDescent="0.25">
      <c r="A181" s="86"/>
      <c r="B181" s="85"/>
      <c r="C181" s="85"/>
      <c r="D181" s="85"/>
      <c r="E181" s="86"/>
      <c r="F181" s="85"/>
      <c r="G181" s="87"/>
      <c r="H181" s="88"/>
      <c r="I181" s="85"/>
      <c r="J181" s="85"/>
      <c r="K181" s="85"/>
    </row>
    <row r="182" spans="1:11" x14ac:dyDescent="0.25">
      <c r="A182" s="86"/>
      <c r="B182" s="85"/>
      <c r="C182" s="85"/>
      <c r="D182" s="85"/>
      <c r="E182" s="86"/>
      <c r="F182" s="85"/>
      <c r="G182" s="87"/>
      <c r="H182" s="88"/>
      <c r="I182" s="85"/>
      <c r="J182" s="85"/>
      <c r="K182" s="85"/>
    </row>
    <row r="183" spans="1:11" x14ac:dyDescent="0.25">
      <c r="A183" s="86"/>
      <c r="B183" s="85"/>
      <c r="C183" s="85"/>
      <c r="D183" s="85"/>
      <c r="E183" s="86"/>
      <c r="F183" s="85"/>
      <c r="G183" s="87"/>
      <c r="H183" s="88"/>
      <c r="I183" s="85"/>
      <c r="J183" s="85"/>
      <c r="K183" s="85"/>
    </row>
    <row r="184" spans="1:11" x14ac:dyDescent="0.25">
      <c r="A184" s="86"/>
      <c r="B184" s="85"/>
      <c r="C184" s="85"/>
      <c r="D184" s="85"/>
      <c r="E184" s="86"/>
      <c r="F184" s="85"/>
      <c r="G184" s="87"/>
      <c r="H184" s="88"/>
      <c r="I184" s="85"/>
      <c r="J184" s="85"/>
      <c r="K184" s="85"/>
    </row>
    <row r="185" spans="1:11" x14ac:dyDescent="0.25">
      <c r="A185" s="86"/>
      <c r="B185" s="85"/>
      <c r="C185" s="85"/>
      <c r="D185" s="85"/>
      <c r="E185" s="86"/>
      <c r="F185" s="85"/>
      <c r="G185" s="87"/>
      <c r="H185" s="88"/>
      <c r="I185" s="85"/>
      <c r="J185" s="85"/>
      <c r="K185" s="85"/>
    </row>
    <row r="186" spans="1:11" x14ac:dyDescent="0.25">
      <c r="A186" s="86"/>
      <c r="B186" s="85"/>
      <c r="C186" s="85"/>
      <c r="D186" s="85"/>
      <c r="E186" s="86"/>
      <c r="F186" s="85"/>
      <c r="G186" s="87"/>
      <c r="H186" s="88"/>
      <c r="I186" s="85"/>
      <c r="J186" s="85"/>
      <c r="K186" s="85"/>
    </row>
    <row r="187" spans="1:11" x14ac:dyDescent="0.25">
      <c r="A187" s="86"/>
      <c r="B187" s="85"/>
      <c r="C187" s="85"/>
      <c r="D187" s="85"/>
      <c r="E187" s="86"/>
      <c r="F187" s="85"/>
      <c r="G187" s="87"/>
      <c r="H187" s="88"/>
      <c r="I187" s="85"/>
      <c r="J187" s="85"/>
      <c r="K187" s="85"/>
    </row>
    <row r="188" spans="1:11" x14ac:dyDescent="0.25">
      <c r="A188" s="86"/>
      <c r="B188" s="85"/>
      <c r="C188" s="85"/>
      <c r="D188" s="85"/>
      <c r="E188" s="86"/>
      <c r="F188" s="85"/>
      <c r="G188" s="87"/>
      <c r="H188" s="88"/>
      <c r="I188" s="85"/>
      <c r="J188" s="85"/>
      <c r="K188" s="85"/>
    </row>
    <row r="189" spans="1:11" x14ac:dyDescent="0.25">
      <c r="A189" s="86"/>
      <c r="B189" s="85"/>
      <c r="C189" s="85"/>
      <c r="D189" s="85"/>
      <c r="E189" s="86"/>
      <c r="F189" s="85"/>
      <c r="G189" s="87"/>
      <c r="H189" s="88"/>
      <c r="I189" s="85"/>
      <c r="J189" s="85"/>
      <c r="K189" s="85"/>
    </row>
    <row r="190" spans="1:11" x14ac:dyDescent="0.25">
      <c r="A190" s="86"/>
      <c r="B190" s="85"/>
      <c r="C190" s="85"/>
      <c r="D190" s="85"/>
      <c r="E190" s="86"/>
      <c r="F190" s="85"/>
      <c r="G190" s="87"/>
      <c r="H190" s="88"/>
      <c r="I190" s="85"/>
      <c r="J190" s="85"/>
      <c r="K190" s="85"/>
    </row>
    <row r="191" spans="1:11" x14ac:dyDescent="0.25">
      <c r="A191" s="86"/>
      <c r="B191" s="85"/>
      <c r="C191" s="85"/>
      <c r="D191" s="85"/>
      <c r="E191" s="86"/>
      <c r="F191" s="85"/>
      <c r="G191" s="87"/>
      <c r="H191" s="88"/>
      <c r="I191" s="85"/>
      <c r="J191" s="85"/>
      <c r="K191" s="85"/>
    </row>
    <row r="192" spans="1:11" x14ac:dyDescent="0.25">
      <c r="A192" s="86"/>
      <c r="B192" s="85"/>
      <c r="C192" s="85"/>
      <c r="D192" s="85"/>
      <c r="E192" s="86"/>
      <c r="F192" s="85"/>
      <c r="G192" s="87"/>
      <c r="H192" s="88"/>
      <c r="I192" s="85"/>
      <c r="J192" s="85"/>
      <c r="K192" s="85"/>
    </row>
    <row r="193" spans="1:11" x14ac:dyDescent="0.25">
      <c r="A193" s="86"/>
      <c r="B193" s="85"/>
      <c r="C193" s="85"/>
      <c r="D193" s="85"/>
      <c r="E193" s="86"/>
      <c r="F193" s="85"/>
      <c r="G193" s="87"/>
      <c r="H193" s="88"/>
      <c r="I193" s="85"/>
      <c r="J193" s="85"/>
      <c r="K193" s="85"/>
    </row>
    <row r="194" spans="1:11" x14ac:dyDescent="0.25">
      <c r="A194" s="86"/>
      <c r="B194" s="85"/>
      <c r="C194" s="85"/>
      <c r="D194" s="85"/>
      <c r="E194" s="86"/>
      <c r="F194" s="85"/>
      <c r="G194" s="87"/>
      <c r="H194" s="88"/>
      <c r="I194" s="85"/>
      <c r="J194" s="85"/>
      <c r="K194" s="85"/>
    </row>
    <row r="195" spans="1:11" x14ac:dyDescent="0.25">
      <c r="A195" s="86"/>
      <c r="B195" s="85"/>
      <c r="C195" s="85"/>
      <c r="D195" s="85"/>
      <c r="E195" s="86"/>
      <c r="F195" s="85"/>
      <c r="G195" s="87"/>
      <c r="H195" s="88"/>
      <c r="I195" s="85"/>
      <c r="J195" s="85"/>
      <c r="K195" s="85"/>
    </row>
    <row r="196" spans="1:11" x14ac:dyDescent="0.25">
      <c r="A196" s="86"/>
      <c r="B196" s="85"/>
      <c r="C196" s="85"/>
      <c r="D196" s="85"/>
      <c r="E196" s="86"/>
      <c r="F196" s="85"/>
      <c r="G196" s="87"/>
      <c r="H196" s="88"/>
      <c r="I196" s="85"/>
      <c r="J196" s="85"/>
      <c r="K196" s="85"/>
    </row>
    <row r="197" spans="1:11" x14ac:dyDescent="0.25">
      <c r="A197" s="86"/>
      <c r="B197" s="85"/>
      <c r="C197" s="85"/>
      <c r="D197" s="85"/>
      <c r="E197" s="86"/>
      <c r="F197" s="85"/>
      <c r="G197" s="87"/>
      <c r="H197" s="88"/>
      <c r="I197" s="85"/>
      <c r="J197" s="85"/>
      <c r="K197" s="85"/>
    </row>
    <row r="198" spans="1:11" x14ac:dyDescent="0.25">
      <c r="A198" s="86"/>
      <c r="B198" s="85"/>
      <c r="C198" s="85"/>
      <c r="D198" s="85"/>
      <c r="E198" s="86"/>
      <c r="F198" s="85"/>
      <c r="G198" s="87"/>
      <c r="H198" s="88"/>
      <c r="I198" s="85"/>
      <c r="J198" s="85"/>
      <c r="K198" s="85"/>
    </row>
    <row r="199" spans="1:11" x14ac:dyDescent="0.25">
      <c r="A199" s="86"/>
      <c r="B199" s="85"/>
      <c r="C199" s="85"/>
      <c r="D199" s="85"/>
      <c r="E199" s="86"/>
      <c r="F199" s="85"/>
      <c r="G199" s="87"/>
      <c r="H199" s="88"/>
      <c r="I199" s="85"/>
      <c r="J199" s="85"/>
      <c r="K199" s="85"/>
    </row>
    <row r="200" spans="1:11" x14ac:dyDescent="0.25">
      <c r="A200" s="86"/>
      <c r="B200" s="85"/>
      <c r="C200" s="85"/>
      <c r="D200" s="85"/>
      <c r="E200" s="86"/>
      <c r="F200" s="85"/>
      <c r="G200" s="87"/>
      <c r="H200" s="88"/>
      <c r="I200" s="85"/>
      <c r="J200" s="85"/>
      <c r="K200" s="85"/>
    </row>
    <row r="201" spans="1:11" x14ac:dyDescent="0.25">
      <c r="A201" s="86"/>
      <c r="B201" s="85"/>
      <c r="C201" s="85"/>
      <c r="D201" s="85"/>
      <c r="E201" s="86"/>
      <c r="F201" s="85"/>
      <c r="G201" s="87"/>
      <c r="H201" s="88"/>
      <c r="I201" s="85"/>
      <c r="J201" s="85"/>
      <c r="K201" s="85"/>
    </row>
    <row r="202" spans="1:11" x14ac:dyDescent="0.25">
      <c r="A202" s="86"/>
      <c r="B202" s="85"/>
      <c r="C202" s="85"/>
      <c r="D202" s="85"/>
      <c r="E202" s="86"/>
      <c r="F202" s="85"/>
      <c r="G202" s="87"/>
      <c r="H202" s="88"/>
      <c r="I202" s="85"/>
      <c r="J202" s="85"/>
      <c r="K202" s="85"/>
    </row>
    <row r="203" spans="1:11" x14ac:dyDescent="0.25">
      <c r="A203" s="86"/>
      <c r="B203" s="85"/>
      <c r="C203" s="85"/>
      <c r="D203" s="85"/>
      <c r="E203" s="86"/>
      <c r="F203" s="85"/>
      <c r="G203" s="87"/>
      <c r="H203" s="88"/>
      <c r="I203" s="85"/>
      <c r="J203" s="85"/>
      <c r="K203" s="85"/>
    </row>
    <row r="204" spans="1:11" x14ac:dyDescent="0.25">
      <c r="A204" s="86"/>
      <c r="B204" s="85"/>
      <c r="C204" s="85"/>
      <c r="D204" s="85"/>
      <c r="E204" s="86"/>
      <c r="F204" s="85"/>
      <c r="G204" s="87"/>
      <c r="H204" s="88"/>
      <c r="I204" s="85"/>
      <c r="J204" s="85"/>
      <c r="K204" s="85"/>
    </row>
    <row r="205" spans="1:11" x14ac:dyDescent="0.25">
      <c r="A205" s="86"/>
      <c r="B205" s="85"/>
      <c r="C205" s="85"/>
      <c r="D205" s="85"/>
      <c r="E205" s="86"/>
      <c r="F205" s="85"/>
      <c r="G205" s="87"/>
      <c r="H205" s="88"/>
      <c r="I205" s="85"/>
      <c r="J205" s="85"/>
      <c r="K205" s="85"/>
    </row>
    <row r="206" spans="1:11" x14ac:dyDescent="0.25">
      <c r="A206" s="86"/>
      <c r="B206" s="85"/>
      <c r="C206" s="85"/>
      <c r="D206" s="85"/>
      <c r="E206" s="86"/>
      <c r="F206" s="85"/>
      <c r="G206" s="87"/>
      <c r="H206" s="88"/>
      <c r="I206" s="85"/>
      <c r="J206" s="85"/>
      <c r="K206" s="85"/>
    </row>
    <row r="207" spans="1:11" x14ac:dyDescent="0.25">
      <c r="A207" s="86"/>
      <c r="B207" s="85"/>
      <c r="C207" s="85"/>
      <c r="D207" s="85"/>
      <c r="E207" s="86"/>
      <c r="F207" s="85"/>
      <c r="G207" s="87"/>
      <c r="H207" s="88"/>
      <c r="I207" s="85"/>
      <c r="J207" s="85"/>
      <c r="K207" s="85"/>
    </row>
    <row r="208" spans="1:11" x14ac:dyDescent="0.25">
      <c r="A208" s="86"/>
      <c r="B208" s="85"/>
      <c r="C208" s="85"/>
      <c r="D208" s="85"/>
      <c r="E208" s="86"/>
      <c r="F208" s="85"/>
      <c r="G208" s="87"/>
      <c r="H208" s="88"/>
      <c r="I208" s="85"/>
      <c r="J208" s="85"/>
      <c r="K208" s="85"/>
    </row>
    <row r="209" spans="1:11" x14ac:dyDescent="0.25">
      <c r="A209" s="86"/>
      <c r="B209" s="85"/>
      <c r="C209" s="85"/>
      <c r="D209" s="85"/>
      <c r="E209" s="86"/>
      <c r="F209" s="85"/>
      <c r="G209" s="87"/>
      <c r="H209" s="88"/>
      <c r="I209" s="85"/>
      <c r="J209" s="85"/>
      <c r="K209" s="85"/>
    </row>
    <row r="210" spans="1:11" x14ac:dyDescent="0.25">
      <c r="A210" s="86"/>
      <c r="B210" s="85"/>
      <c r="C210" s="85"/>
      <c r="D210" s="85"/>
      <c r="E210" s="86"/>
      <c r="F210" s="85"/>
      <c r="G210" s="87"/>
      <c r="H210" s="88"/>
      <c r="I210" s="85"/>
      <c r="J210" s="85"/>
      <c r="K210" s="85"/>
    </row>
    <row r="211" spans="1:11" x14ac:dyDescent="0.25">
      <c r="A211" s="86"/>
      <c r="B211" s="85"/>
      <c r="C211" s="85"/>
      <c r="D211" s="85"/>
      <c r="E211" s="86"/>
      <c r="F211" s="85"/>
      <c r="G211" s="87"/>
      <c r="H211" s="88"/>
      <c r="I211" s="85"/>
      <c r="J211" s="85"/>
      <c r="K211" s="85"/>
    </row>
    <row r="212" spans="1:11" x14ac:dyDescent="0.25">
      <c r="A212" s="86"/>
      <c r="B212" s="85"/>
      <c r="C212" s="85"/>
      <c r="D212" s="85"/>
      <c r="E212" s="86"/>
      <c r="F212" s="85"/>
      <c r="G212" s="87"/>
      <c r="H212" s="88"/>
      <c r="I212" s="85"/>
      <c r="J212" s="85"/>
      <c r="K212" s="85"/>
    </row>
    <row r="213" spans="1:11" x14ac:dyDescent="0.25">
      <c r="A213" s="86"/>
      <c r="B213" s="85"/>
      <c r="C213" s="85"/>
      <c r="D213" s="85"/>
      <c r="E213" s="86"/>
      <c r="F213" s="85"/>
      <c r="G213" s="87"/>
      <c r="H213" s="88"/>
      <c r="I213" s="85"/>
      <c r="J213" s="85"/>
      <c r="K213" s="85"/>
    </row>
    <row r="214" spans="1:11" x14ac:dyDescent="0.25">
      <c r="A214" s="86"/>
      <c r="B214" s="85"/>
      <c r="C214" s="85"/>
      <c r="D214" s="85"/>
      <c r="E214" s="86"/>
      <c r="F214" s="85"/>
      <c r="G214" s="87"/>
      <c r="H214" s="88"/>
      <c r="I214" s="85"/>
      <c r="J214" s="85"/>
      <c r="K214" s="85"/>
    </row>
    <row r="215" spans="1:11" x14ac:dyDescent="0.25">
      <c r="A215" s="86"/>
      <c r="B215" s="85"/>
      <c r="C215" s="85"/>
      <c r="D215" s="85"/>
      <c r="E215" s="86"/>
      <c r="F215" s="85"/>
      <c r="G215" s="87"/>
      <c r="H215" s="88"/>
      <c r="I215" s="85"/>
      <c r="J215" s="85"/>
      <c r="K215" s="85"/>
    </row>
    <row r="216" spans="1:11" x14ac:dyDescent="0.25">
      <c r="A216" s="86"/>
      <c r="B216" s="85"/>
      <c r="C216" s="85"/>
      <c r="D216" s="85"/>
      <c r="E216" s="86"/>
      <c r="F216" s="85"/>
      <c r="G216" s="87"/>
      <c r="H216" s="88"/>
      <c r="I216" s="85"/>
      <c r="J216" s="85"/>
      <c r="K216" s="85"/>
    </row>
    <row r="217" spans="1:11" x14ac:dyDescent="0.25">
      <c r="A217" s="86"/>
      <c r="B217" s="85"/>
      <c r="C217" s="85"/>
      <c r="D217" s="85"/>
      <c r="E217" s="86"/>
      <c r="F217" s="85"/>
      <c r="G217" s="87"/>
      <c r="H217" s="88"/>
      <c r="I217" s="85"/>
      <c r="J217" s="85"/>
      <c r="K217" s="85"/>
    </row>
    <row r="218" spans="1:11" x14ac:dyDescent="0.25">
      <c r="A218" s="86"/>
      <c r="B218" s="85"/>
      <c r="C218" s="85"/>
      <c r="D218" s="85"/>
      <c r="E218" s="86"/>
      <c r="F218" s="85"/>
      <c r="G218" s="87"/>
      <c r="H218" s="88"/>
      <c r="I218" s="85"/>
      <c r="J218" s="85"/>
      <c r="K218" s="85"/>
    </row>
    <row r="219" spans="1:11" x14ac:dyDescent="0.25">
      <c r="A219" s="86"/>
      <c r="B219" s="85"/>
      <c r="C219" s="85"/>
      <c r="D219" s="85"/>
      <c r="E219" s="86"/>
      <c r="F219" s="85"/>
      <c r="G219" s="87"/>
      <c r="H219" s="88"/>
      <c r="I219" s="85"/>
      <c r="J219" s="85"/>
      <c r="K219" s="85"/>
    </row>
    <row r="220" spans="1:11" x14ac:dyDescent="0.25">
      <c r="A220" s="86"/>
      <c r="B220" s="85"/>
      <c r="C220" s="85"/>
      <c r="D220" s="85"/>
      <c r="E220" s="86"/>
      <c r="F220" s="85"/>
      <c r="G220" s="87"/>
      <c r="H220" s="88"/>
      <c r="I220" s="85"/>
      <c r="J220" s="85"/>
      <c r="K220" s="85"/>
    </row>
    <row r="221" spans="1:11" x14ac:dyDescent="0.25">
      <c r="A221" s="86"/>
      <c r="B221" s="85"/>
      <c r="C221" s="85"/>
      <c r="D221" s="85"/>
      <c r="E221" s="86"/>
      <c r="F221" s="85"/>
      <c r="G221" s="87"/>
      <c r="H221" s="88"/>
      <c r="I221" s="85"/>
      <c r="J221" s="85"/>
      <c r="K221" s="85"/>
    </row>
    <row r="222" spans="1:11" x14ac:dyDescent="0.25">
      <c r="A222" s="86"/>
      <c r="B222" s="85"/>
      <c r="C222" s="85"/>
      <c r="D222" s="85"/>
      <c r="E222" s="86"/>
      <c r="F222" s="85"/>
      <c r="G222" s="87"/>
      <c r="H222" s="88"/>
      <c r="I222" s="85"/>
      <c r="J222" s="85"/>
      <c r="K222" s="85"/>
    </row>
    <row r="223" spans="1:11" x14ac:dyDescent="0.25">
      <c r="A223" s="86"/>
      <c r="B223" s="85"/>
      <c r="C223" s="85"/>
      <c r="D223" s="85"/>
      <c r="E223" s="86"/>
      <c r="F223" s="85"/>
      <c r="G223" s="87"/>
      <c r="H223" s="88"/>
      <c r="I223" s="85"/>
      <c r="J223" s="85"/>
      <c r="K223" s="85"/>
    </row>
    <row r="224" spans="1:11" x14ac:dyDescent="0.25">
      <c r="A224" s="86"/>
      <c r="B224" s="85"/>
      <c r="C224" s="85"/>
      <c r="D224" s="85"/>
      <c r="E224" s="86"/>
      <c r="F224" s="85"/>
      <c r="G224" s="87"/>
      <c r="H224" s="88"/>
      <c r="I224" s="85"/>
      <c r="J224" s="85"/>
      <c r="K224" s="85"/>
    </row>
    <row r="225" spans="1:11" x14ac:dyDescent="0.25">
      <c r="A225" s="86"/>
      <c r="B225" s="85"/>
      <c r="C225" s="85"/>
      <c r="D225" s="85"/>
      <c r="E225" s="86"/>
      <c r="F225" s="85"/>
      <c r="G225" s="87"/>
      <c r="H225" s="88"/>
      <c r="I225" s="85"/>
      <c r="J225" s="85"/>
      <c r="K225" s="85"/>
    </row>
    <row r="226" spans="1:11" x14ac:dyDescent="0.25">
      <c r="A226" s="86"/>
      <c r="B226" s="85"/>
      <c r="C226" s="85"/>
      <c r="D226" s="85"/>
      <c r="E226" s="86"/>
      <c r="F226" s="85"/>
      <c r="G226" s="87"/>
      <c r="H226" s="88"/>
      <c r="I226" s="85"/>
      <c r="J226" s="85"/>
      <c r="K226" s="85"/>
    </row>
    <row r="227" spans="1:11" x14ac:dyDescent="0.25">
      <c r="A227" s="86"/>
      <c r="B227" s="85"/>
      <c r="C227" s="85"/>
      <c r="D227" s="85"/>
      <c r="E227" s="86"/>
      <c r="F227" s="85"/>
      <c r="G227" s="87"/>
      <c r="H227" s="88"/>
      <c r="I227" s="85"/>
      <c r="J227" s="85"/>
      <c r="K227" s="85"/>
    </row>
    <row r="228" spans="1:11" x14ac:dyDescent="0.25">
      <c r="A228" s="86"/>
      <c r="B228" s="85"/>
      <c r="C228" s="85"/>
      <c r="D228" s="85"/>
      <c r="E228" s="86"/>
      <c r="F228" s="85"/>
      <c r="G228" s="87"/>
      <c r="H228" s="88"/>
      <c r="I228" s="85"/>
      <c r="J228" s="85"/>
      <c r="K228" s="85"/>
    </row>
    <row r="229" spans="1:11" x14ac:dyDescent="0.25">
      <c r="A229" s="86"/>
      <c r="B229" s="85"/>
      <c r="C229" s="85"/>
      <c r="D229" s="85"/>
      <c r="E229" s="86"/>
      <c r="F229" s="85"/>
      <c r="G229" s="87"/>
      <c r="H229" s="88"/>
      <c r="I229" s="85"/>
      <c r="J229" s="85"/>
      <c r="K229" s="85"/>
    </row>
    <row r="230" spans="1:11" x14ac:dyDescent="0.25">
      <c r="A230" s="86"/>
      <c r="B230" s="85"/>
      <c r="C230" s="85"/>
      <c r="D230" s="85"/>
      <c r="E230" s="86"/>
      <c r="F230" s="85"/>
      <c r="G230" s="87"/>
      <c r="H230" s="88"/>
      <c r="I230" s="85"/>
      <c r="J230" s="85"/>
      <c r="K230" s="85"/>
    </row>
    <row r="231" spans="1:11" x14ac:dyDescent="0.25">
      <c r="A231" s="86"/>
      <c r="B231" s="85"/>
      <c r="C231" s="85"/>
      <c r="D231" s="85"/>
      <c r="E231" s="86"/>
      <c r="F231" s="85"/>
      <c r="G231" s="87"/>
      <c r="H231" s="88"/>
      <c r="I231" s="85"/>
      <c r="J231" s="85"/>
      <c r="K231" s="85"/>
    </row>
    <row r="232" spans="1:11" x14ac:dyDescent="0.25">
      <c r="A232" s="86"/>
      <c r="B232" s="85"/>
      <c r="C232" s="85"/>
      <c r="D232" s="85"/>
      <c r="E232" s="86"/>
      <c r="F232" s="85"/>
      <c r="G232" s="87"/>
      <c r="H232" s="88"/>
      <c r="I232" s="85"/>
      <c r="J232" s="85"/>
      <c r="K232" s="85"/>
    </row>
    <row r="233" spans="1:11" x14ac:dyDescent="0.25">
      <c r="A233" s="86"/>
      <c r="B233" s="85"/>
      <c r="C233" s="85"/>
      <c r="D233" s="85"/>
      <c r="E233" s="86"/>
      <c r="F233" s="85"/>
      <c r="G233" s="87"/>
      <c r="H233" s="88"/>
      <c r="I233" s="85"/>
      <c r="J233" s="85"/>
      <c r="K233" s="85"/>
    </row>
    <row r="234" spans="1:11" x14ac:dyDescent="0.25">
      <c r="A234" s="86"/>
      <c r="B234" s="85"/>
      <c r="C234" s="85"/>
      <c r="D234" s="85"/>
      <c r="E234" s="86"/>
      <c r="F234" s="85"/>
      <c r="G234" s="87"/>
      <c r="H234" s="88"/>
      <c r="I234" s="85"/>
      <c r="J234" s="85"/>
      <c r="K234" s="85"/>
    </row>
    <row r="235" spans="1:11" x14ac:dyDescent="0.25">
      <c r="A235" s="86"/>
      <c r="B235" s="85"/>
      <c r="C235" s="85"/>
      <c r="D235" s="85"/>
      <c r="E235" s="86"/>
      <c r="F235" s="85"/>
      <c r="G235" s="87"/>
      <c r="H235" s="88"/>
      <c r="I235" s="85"/>
      <c r="J235" s="85"/>
      <c r="K235" s="85"/>
    </row>
    <row r="236" spans="1:11" x14ac:dyDescent="0.25">
      <c r="A236" s="86"/>
      <c r="B236" s="85"/>
      <c r="C236" s="85"/>
      <c r="D236" s="85"/>
      <c r="E236" s="86"/>
      <c r="F236" s="85"/>
      <c r="G236" s="87"/>
      <c r="H236" s="88"/>
      <c r="I236" s="85"/>
      <c r="J236" s="85"/>
      <c r="K236" s="85"/>
    </row>
    <row r="237" spans="1:11" x14ac:dyDescent="0.25">
      <c r="A237" s="86"/>
      <c r="B237" s="85"/>
      <c r="C237" s="85"/>
      <c r="D237" s="85"/>
      <c r="E237" s="86"/>
      <c r="F237" s="85"/>
      <c r="G237" s="87"/>
      <c r="H237" s="88"/>
      <c r="I237" s="85"/>
      <c r="J237" s="85"/>
      <c r="K237" s="85"/>
    </row>
    <row r="238" spans="1:11" x14ac:dyDescent="0.25">
      <c r="A238" s="86"/>
      <c r="B238" s="85"/>
      <c r="C238" s="85"/>
      <c r="D238" s="85"/>
      <c r="E238" s="86"/>
      <c r="F238" s="85"/>
      <c r="G238" s="87"/>
      <c r="H238" s="88"/>
      <c r="I238" s="85"/>
      <c r="J238" s="85"/>
      <c r="K238" s="85"/>
    </row>
    <row r="239" spans="1:11" x14ac:dyDescent="0.25">
      <c r="A239" s="86"/>
      <c r="B239" s="85"/>
      <c r="C239" s="85"/>
      <c r="D239" s="85"/>
      <c r="E239" s="86"/>
      <c r="F239" s="85"/>
      <c r="G239" s="87"/>
      <c r="H239" s="88"/>
      <c r="I239" s="85"/>
      <c r="J239" s="85"/>
      <c r="K239" s="85"/>
    </row>
    <row r="240" spans="1:11" x14ac:dyDescent="0.25">
      <c r="A240" s="86"/>
      <c r="B240" s="85"/>
      <c r="C240" s="85"/>
      <c r="D240" s="85"/>
      <c r="E240" s="86"/>
      <c r="F240" s="85"/>
      <c r="G240" s="87"/>
      <c r="H240" s="88"/>
      <c r="I240" s="85"/>
      <c r="J240" s="85"/>
      <c r="K240" s="85"/>
    </row>
    <row r="241" spans="1:11" x14ac:dyDescent="0.25">
      <c r="A241" s="86"/>
      <c r="B241" s="85"/>
      <c r="C241" s="85"/>
      <c r="D241" s="85"/>
      <c r="E241" s="86"/>
      <c r="F241" s="85"/>
      <c r="G241" s="87"/>
      <c r="H241" s="88"/>
      <c r="I241" s="85"/>
      <c r="J241" s="85"/>
      <c r="K241" s="85"/>
    </row>
    <row r="242" spans="1:11" x14ac:dyDescent="0.25">
      <c r="A242" s="86"/>
      <c r="B242" s="85"/>
      <c r="C242" s="85"/>
      <c r="D242" s="85"/>
      <c r="E242" s="86"/>
      <c r="F242" s="85"/>
      <c r="G242" s="87"/>
      <c r="H242" s="88"/>
      <c r="I242" s="85"/>
      <c r="J242" s="85"/>
      <c r="K242" s="85"/>
    </row>
    <row r="243" spans="1:11" x14ac:dyDescent="0.25">
      <c r="A243" s="86"/>
      <c r="B243" s="85"/>
      <c r="C243" s="85"/>
      <c r="D243" s="85"/>
      <c r="E243" s="86"/>
      <c r="F243" s="85"/>
      <c r="G243" s="87"/>
      <c r="H243" s="88"/>
      <c r="I243" s="85"/>
      <c r="J243" s="85"/>
      <c r="K243" s="85"/>
    </row>
    <row r="244" spans="1:11" x14ac:dyDescent="0.25">
      <c r="A244" s="86"/>
      <c r="B244" s="85"/>
      <c r="C244" s="85"/>
      <c r="D244" s="85"/>
      <c r="E244" s="86"/>
      <c r="F244" s="85"/>
      <c r="G244" s="87"/>
      <c r="H244" s="88"/>
      <c r="I244" s="85"/>
      <c r="J244" s="85"/>
      <c r="K244" s="85"/>
    </row>
    <row r="245" spans="1:11" x14ac:dyDescent="0.25">
      <c r="A245" s="86"/>
      <c r="B245" s="85"/>
      <c r="C245" s="85"/>
      <c r="D245" s="85"/>
      <c r="E245" s="86"/>
      <c r="F245" s="85"/>
      <c r="G245" s="87"/>
      <c r="H245" s="88"/>
      <c r="I245" s="85"/>
      <c r="J245" s="85"/>
      <c r="K245" s="85"/>
    </row>
    <row r="246" spans="1:11" x14ac:dyDescent="0.25">
      <c r="A246" s="86"/>
      <c r="B246" s="85"/>
      <c r="C246" s="85"/>
      <c r="D246" s="85"/>
      <c r="E246" s="86"/>
      <c r="F246" s="85"/>
      <c r="G246" s="87"/>
      <c r="H246" s="88"/>
      <c r="I246" s="85"/>
      <c r="J246" s="85"/>
      <c r="K246" s="85"/>
    </row>
    <row r="247" spans="1:11" x14ac:dyDescent="0.25">
      <c r="A247" s="86"/>
      <c r="B247" s="85"/>
      <c r="C247" s="85"/>
      <c r="D247" s="85"/>
      <c r="E247" s="86"/>
      <c r="F247" s="85"/>
      <c r="G247" s="87"/>
      <c r="H247" s="88"/>
      <c r="I247" s="85"/>
      <c r="J247" s="85"/>
      <c r="K247" s="85"/>
    </row>
    <row r="248" spans="1:11" x14ac:dyDescent="0.25">
      <c r="A248" s="86"/>
      <c r="B248" s="85"/>
      <c r="C248" s="85"/>
      <c r="D248" s="85"/>
      <c r="E248" s="86"/>
      <c r="F248" s="85"/>
      <c r="G248" s="87"/>
      <c r="H248" s="88"/>
      <c r="I248" s="85"/>
      <c r="J248" s="85"/>
      <c r="K248" s="85"/>
    </row>
    <row r="249" spans="1:11" x14ac:dyDescent="0.25">
      <c r="A249" s="86"/>
      <c r="B249" s="85"/>
      <c r="C249" s="85"/>
      <c r="D249" s="85"/>
      <c r="E249" s="86"/>
      <c r="F249" s="85"/>
      <c r="G249" s="87"/>
      <c r="H249" s="88"/>
      <c r="I249" s="85"/>
      <c r="J249" s="85"/>
      <c r="K249" s="85"/>
    </row>
    <row r="250" spans="1:11" x14ac:dyDescent="0.25">
      <c r="A250" s="86"/>
      <c r="B250" s="85"/>
      <c r="C250" s="85"/>
      <c r="D250" s="85"/>
      <c r="E250" s="86"/>
      <c r="F250" s="85"/>
      <c r="G250" s="87"/>
      <c r="H250" s="88"/>
      <c r="I250" s="85"/>
      <c r="J250" s="85"/>
      <c r="K250" s="85"/>
    </row>
    <row r="251" spans="1:11" x14ac:dyDescent="0.25">
      <c r="A251" s="86"/>
      <c r="B251" s="85"/>
      <c r="C251" s="85"/>
      <c r="D251" s="85"/>
      <c r="E251" s="86"/>
      <c r="F251" s="85"/>
      <c r="G251" s="87"/>
      <c r="H251" s="88"/>
      <c r="I251" s="85"/>
      <c r="J251" s="85"/>
      <c r="K251" s="85"/>
    </row>
    <row r="252" spans="1:11" x14ac:dyDescent="0.25">
      <c r="A252" s="86"/>
      <c r="B252" s="85"/>
      <c r="C252" s="85"/>
      <c r="D252" s="85"/>
      <c r="E252" s="86"/>
      <c r="F252" s="85"/>
      <c r="G252" s="87"/>
      <c r="H252" s="88"/>
      <c r="I252" s="85"/>
      <c r="J252" s="85"/>
      <c r="K252" s="85"/>
    </row>
    <row r="253" spans="1:11" x14ac:dyDescent="0.25">
      <c r="A253" s="86"/>
      <c r="B253" s="85"/>
      <c r="C253" s="85"/>
      <c r="D253" s="85"/>
      <c r="E253" s="86"/>
      <c r="F253" s="85"/>
      <c r="G253" s="87"/>
      <c r="H253" s="88"/>
      <c r="I253" s="85"/>
      <c r="J253" s="85"/>
      <c r="K253" s="85"/>
    </row>
    <row r="254" spans="1:11" x14ac:dyDescent="0.25">
      <c r="A254" s="86"/>
      <c r="B254" s="85"/>
      <c r="C254" s="85"/>
      <c r="D254" s="85"/>
      <c r="E254" s="86"/>
      <c r="F254" s="85"/>
      <c r="G254" s="87"/>
      <c r="H254" s="88"/>
      <c r="I254" s="85"/>
      <c r="J254" s="85"/>
      <c r="K254" s="85"/>
    </row>
    <row r="255" spans="1:11" x14ac:dyDescent="0.25">
      <c r="A255" s="86"/>
      <c r="B255" s="85"/>
      <c r="C255" s="85"/>
      <c r="D255" s="85"/>
      <c r="E255" s="86"/>
      <c r="F255" s="85"/>
      <c r="G255" s="87"/>
      <c r="H255" s="88"/>
      <c r="I255" s="85"/>
      <c r="J255" s="85"/>
      <c r="K255" s="85"/>
    </row>
    <row r="256" spans="1:11" x14ac:dyDescent="0.25">
      <c r="A256" s="86"/>
      <c r="B256" s="85"/>
      <c r="C256" s="85"/>
      <c r="D256" s="85"/>
      <c r="E256" s="86"/>
      <c r="F256" s="85"/>
      <c r="G256" s="87"/>
      <c r="H256" s="88"/>
      <c r="I256" s="85"/>
      <c r="J256" s="85"/>
      <c r="K256" s="85"/>
    </row>
    <row r="257" spans="1:11" x14ac:dyDescent="0.25">
      <c r="A257" s="86"/>
      <c r="B257" s="85"/>
      <c r="C257" s="85"/>
      <c r="D257" s="85"/>
      <c r="E257" s="86"/>
      <c r="F257" s="85"/>
      <c r="G257" s="87"/>
      <c r="H257" s="88"/>
      <c r="I257" s="85"/>
      <c r="J257" s="85"/>
      <c r="K257" s="85"/>
    </row>
    <row r="258" spans="1:11" x14ac:dyDescent="0.25">
      <c r="A258" s="86"/>
      <c r="B258" s="85"/>
      <c r="C258" s="85"/>
      <c r="D258" s="85"/>
      <c r="E258" s="86"/>
      <c r="F258" s="85"/>
      <c r="G258" s="87"/>
      <c r="H258" s="88"/>
      <c r="I258" s="85"/>
      <c r="J258" s="85"/>
      <c r="K258" s="85"/>
    </row>
    <row r="259" spans="1:11" x14ac:dyDescent="0.25">
      <c r="A259" s="86"/>
      <c r="B259" s="85"/>
      <c r="C259" s="85"/>
      <c r="D259" s="85"/>
      <c r="E259" s="86"/>
      <c r="F259" s="85"/>
      <c r="G259" s="87"/>
      <c r="H259" s="88"/>
      <c r="I259" s="85"/>
      <c r="J259" s="85"/>
      <c r="K259" s="85"/>
    </row>
    <row r="260" spans="1:11" x14ac:dyDescent="0.25">
      <c r="A260" s="86"/>
      <c r="B260" s="85"/>
      <c r="C260" s="85"/>
      <c r="D260" s="85"/>
      <c r="E260" s="86"/>
      <c r="F260" s="85"/>
      <c r="G260" s="87"/>
      <c r="H260" s="88"/>
      <c r="I260" s="85"/>
      <c r="J260" s="85"/>
      <c r="K260" s="85"/>
    </row>
    <row r="261" spans="1:11" x14ac:dyDescent="0.25">
      <c r="A261" s="86"/>
      <c r="B261" s="85"/>
      <c r="C261" s="85"/>
      <c r="D261" s="85"/>
      <c r="E261" s="86"/>
      <c r="F261" s="85"/>
      <c r="G261" s="87"/>
      <c r="H261" s="88"/>
      <c r="I261" s="85"/>
      <c r="J261" s="85"/>
      <c r="K261" s="85"/>
    </row>
    <row r="262" spans="1:11" x14ac:dyDescent="0.25">
      <c r="A262" s="86"/>
      <c r="B262" s="85"/>
      <c r="C262" s="85"/>
      <c r="D262" s="85"/>
      <c r="E262" s="86"/>
      <c r="F262" s="85"/>
      <c r="G262" s="87"/>
      <c r="H262" s="88"/>
      <c r="I262" s="85"/>
      <c r="J262" s="85"/>
      <c r="K262" s="85"/>
    </row>
    <row r="263" spans="1:11" x14ac:dyDescent="0.25">
      <c r="A263" s="86"/>
      <c r="B263" s="85"/>
      <c r="C263" s="85"/>
      <c r="D263" s="85"/>
      <c r="E263" s="86"/>
      <c r="F263" s="85"/>
      <c r="G263" s="87"/>
      <c r="H263" s="88"/>
      <c r="I263" s="85"/>
      <c r="J263" s="85"/>
      <c r="K263" s="85"/>
    </row>
    <row r="264" spans="1:11" x14ac:dyDescent="0.25">
      <c r="A264" s="86"/>
      <c r="B264" s="85"/>
      <c r="C264" s="85"/>
      <c r="D264" s="85"/>
      <c r="E264" s="86"/>
      <c r="F264" s="85"/>
      <c r="G264" s="87"/>
      <c r="H264" s="88"/>
      <c r="I264" s="85"/>
      <c r="J264" s="85"/>
      <c r="K264" s="85"/>
    </row>
    <row r="265" spans="1:11" x14ac:dyDescent="0.25">
      <c r="A265" s="86"/>
      <c r="B265" s="85"/>
      <c r="C265" s="85"/>
      <c r="D265" s="85"/>
      <c r="E265" s="86"/>
      <c r="F265" s="85"/>
      <c r="G265" s="87"/>
      <c r="H265" s="88"/>
      <c r="I265" s="85"/>
      <c r="J265" s="85"/>
      <c r="K265" s="85"/>
    </row>
    <row r="266" spans="1:11" x14ac:dyDescent="0.25">
      <c r="A266" s="86"/>
      <c r="B266" s="85"/>
      <c r="C266" s="85"/>
      <c r="D266" s="85"/>
      <c r="E266" s="86"/>
      <c r="F266" s="85"/>
      <c r="G266" s="87"/>
      <c r="H266" s="88"/>
      <c r="I266" s="85"/>
      <c r="J266" s="85"/>
      <c r="K266" s="85"/>
    </row>
    <row r="267" spans="1:11" x14ac:dyDescent="0.25">
      <c r="A267" s="86"/>
      <c r="B267" s="85"/>
      <c r="C267" s="85"/>
      <c r="D267" s="85"/>
      <c r="E267" s="86"/>
      <c r="F267" s="85"/>
      <c r="G267" s="87"/>
      <c r="H267" s="88"/>
      <c r="I267" s="85"/>
      <c r="J267" s="85"/>
      <c r="K267" s="85"/>
    </row>
    <row r="268" spans="1:11" x14ac:dyDescent="0.25">
      <c r="A268" s="86"/>
      <c r="B268" s="85"/>
      <c r="C268" s="85"/>
      <c r="D268" s="85"/>
      <c r="E268" s="86"/>
      <c r="F268" s="85"/>
      <c r="G268" s="87"/>
      <c r="H268" s="88"/>
      <c r="I268" s="85"/>
      <c r="J268" s="85"/>
      <c r="K268" s="85"/>
    </row>
    <row r="269" spans="1:11" x14ac:dyDescent="0.25">
      <c r="A269" s="86"/>
      <c r="B269" s="85"/>
      <c r="C269" s="85"/>
      <c r="D269" s="85"/>
      <c r="E269" s="86"/>
      <c r="F269" s="85"/>
      <c r="G269" s="87"/>
      <c r="H269" s="88"/>
      <c r="I269" s="85"/>
      <c r="J269" s="85"/>
      <c r="K269" s="85"/>
    </row>
    <row r="270" spans="1:11" x14ac:dyDescent="0.25">
      <c r="A270" s="86"/>
      <c r="B270" s="85"/>
      <c r="C270" s="85"/>
      <c r="D270" s="85"/>
      <c r="E270" s="86"/>
      <c r="F270" s="85"/>
      <c r="G270" s="87"/>
      <c r="H270" s="88"/>
      <c r="I270" s="85"/>
      <c r="J270" s="85"/>
      <c r="K270" s="85"/>
    </row>
    <row r="271" spans="1:11" x14ac:dyDescent="0.25">
      <c r="A271" s="86"/>
      <c r="B271" s="85"/>
      <c r="C271" s="85"/>
      <c r="D271" s="85"/>
      <c r="E271" s="86"/>
      <c r="F271" s="85"/>
      <c r="G271" s="87"/>
      <c r="H271" s="88"/>
      <c r="I271" s="85"/>
      <c r="J271" s="85"/>
      <c r="K271" s="85"/>
    </row>
    <row r="272" spans="1:11" x14ac:dyDescent="0.25">
      <c r="A272" s="86"/>
      <c r="B272" s="85"/>
      <c r="C272" s="85"/>
      <c r="D272" s="85"/>
      <c r="E272" s="86"/>
      <c r="F272" s="85"/>
      <c r="G272" s="87"/>
      <c r="H272" s="88"/>
      <c r="I272" s="85"/>
      <c r="J272" s="85"/>
      <c r="K272" s="85"/>
    </row>
    <row r="273" spans="1:11" x14ac:dyDescent="0.25">
      <c r="A273" s="86"/>
      <c r="B273" s="85"/>
      <c r="C273" s="85"/>
      <c r="D273" s="85"/>
      <c r="E273" s="86"/>
      <c r="F273" s="85"/>
      <c r="G273" s="87"/>
      <c r="H273" s="88"/>
      <c r="I273" s="85"/>
      <c r="J273" s="85"/>
      <c r="K273" s="85"/>
    </row>
    <row r="274" spans="1:11" x14ac:dyDescent="0.25">
      <c r="A274" s="86"/>
      <c r="B274" s="85"/>
      <c r="C274" s="85"/>
      <c r="D274" s="85"/>
      <c r="E274" s="86"/>
      <c r="F274" s="85"/>
      <c r="G274" s="87"/>
      <c r="H274" s="88"/>
      <c r="I274" s="85"/>
      <c r="J274" s="85"/>
      <c r="K274" s="85"/>
    </row>
    <row r="275" spans="1:11" x14ac:dyDescent="0.25">
      <c r="A275" s="86"/>
      <c r="B275" s="85"/>
      <c r="C275" s="85"/>
      <c r="D275" s="85"/>
      <c r="E275" s="86"/>
      <c r="F275" s="85"/>
      <c r="G275" s="87"/>
      <c r="H275" s="88"/>
      <c r="I275" s="85"/>
      <c r="J275" s="85"/>
      <c r="K275" s="85"/>
    </row>
    <row r="276" spans="1:11" x14ac:dyDescent="0.25">
      <c r="A276" s="86"/>
      <c r="B276" s="85"/>
      <c r="C276" s="85"/>
      <c r="D276" s="85"/>
      <c r="E276" s="86"/>
      <c r="F276" s="85"/>
      <c r="G276" s="87"/>
      <c r="H276" s="88"/>
      <c r="I276" s="85"/>
      <c r="J276" s="85"/>
      <c r="K276" s="85"/>
    </row>
    <row r="277" spans="1:11" x14ac:dyDescent="0.25">
      <c r="A277" s="86"/>
      <c r="B277" s="85"/>
      <c r="C277" s="85"/>
      <c r="D277" s="85"/>
      <c r="E277" s="86"/>
      <c r="F277" s="85"/>
      <c r="G277" s="87"/>
      <c r="H277" s="88"/>
      <c r="I277" s="85"/>
      <c r="J277" s="85"/>
      <c r="K277" s="85"/>
    </row>
    <row r="278" spans="1:11" x14ac:dyDescent="0.25">
      <c r="A278" s="86"/>
      <c r="B278" s="85"/>
      <c r="C278" s="85"/>
      <c r="D278" s="85"/>
      <c r="E278" s="86"/>
      <c r="F278" s="85"/>
      <c r="G278" s="87"/>
      <c r="H278" s="88"/>
      <c r="I278" s="85"/>
      <c r="J278" s="85"/>
      <c r="K278" s="85"/>
    </row>
    <row r="279" spans="1:11" x14ac:dyDescent="0.25">
      <c r="A279" s="86"/>
      <c r="B279" s="85"/>
      <c r="C279" s="85"/>
      <c r="D279" s="85"/>
      <c r="E279" s="86"/>
      <c r="F279" s="85"/>
      <c r="G279" s="87"/>
      <c r="H279" s="88"/>
      <c r="I279" s="85"/>
      <c r="J279" s="85"/>
      <c r="K279" s="85"/>
    </row>
    <row r="280" spans="1:11" x14ac:dyDescent="0.25">
      <c r="A280" s="86"/>
      <c r="B280" s="85"/>
      <c r="C280" s="85"/>
      <c r="D280" s="85"/>
      <c r="E280" s="86"/>
      <c r="F280" s="85"/>
      <c r="G280" s="87"/>
      <c r="H280" s="88"/>
      <c r="I280" s="85"/>
      <c r="J280" s="85"/>
      <c r="K280" s="85"/>
    </row>
    <row r="281" spans="1:11" x14ac:dyDescent="0.25">
      <c r="A281" s="86"/>
      <c r="B281" s="85"/>
      <c r="C281" s="85"/>
      <c r="D281" s="85"/>
      <c r="E281" s="86"/>
      <c r="F281" s="85"/>
      <c r="G281" s="87"/>
      <c r="H281" s="88"/>
      <c r="I281" s="85"/>
      <c r="J281" s="85"/>
      <c r="K281" s="85"/>
    </row>
    <row r="282" spans="1:11" x14ac:dyDescent="0.25">
      <c r="A282" s="86"/>
      <c r="B282" s="85"/>
      <c r="C282" s="85"/>
      <c r="D282" s="85"/>
      <c r="E282" s="86"/>
      <c r="F282" s="85"/>
      <c r="G282" s="87"/>
      <c r="H282" s="88"/>
      <c r="I282" s="85"/>
      <c r="J282" s="85"/>
      <c r="K282" s="85"/>
    </row>
    <row r="283" spans="1:11" x14ac:dyDescent="0.25">
      <c r="A283" s="86"/>
      <c r="B283" s="85"/>
      <c r="C283" s="85"/>
      <c r="D283" s="85"/>
      <c r="E283" s="86"/>
      <c r="F283" s="85"/>
      <c r="G283" s="87"/>
      <c r="H283" s="88"/>
      <c r="I283" s="85"/>
      <c r="J283" s="85"/>
      <c r="K283" s="85"/>
    </row>
    <row r="284" spans="1:11" x14ac:dyDescent="0.25">
      <c r="A284" s="86"/>
      <c r="B284" s="85"/>
      <c r="C284" s="85"/>
      <c r="D284" s="85"/>
      <c r="E284" s="86"/>
      <c r="F284" s="85"/>
      <c r="G284" s="87"/>
      <c r="H284" s="88"/>
      <c r="I284" s="85"/>
      <c r="J284" s="85"/>
      <c r="K284" s="85"/>
    </row>
    <row r="285" spans="1:11" x14ac:dyDescent="0.25">
      <c r="A285" s="86"/>
      <c r="B285" s="85"/>
      <c r="C285" s="85"/>
      <c r="D285" s="85"/>
      <c r="E285" s="86"/>
      <c r="F285" s="85"/>
      <c r="G285" s="87"/>
      <c r="H285" s="88"/>
      <c r="I285" s="85"/>
      <c r="J285" s="85"/>
      <c r="K285" s="85"/>
    </row>
    <row r="286" spans="1:11" x14ac:dyDescent="0.25">
      <c r="A286" s="86"/>
      <c r="B286" s="85"/>
      <c r="C286" s="85"/>
      <c r="D286" s="85"/>
      <c r="E286" s="86"/>
      <c r="F286" s="85"/>
      <c r="G286" s="87"/>
      <c r="H286" s="88"/>
      <c r="I286" s="85"/>
      <c r="J286" s="85"/>
      <c r="K286" s="85"/>
    </row>
    <row r="287" spans="1:11" x14ac:dyDescent="0.25">
      <c r="A287" s="86"/>
      <c r="B287" s="85"/>
      <c r="C287" s="85"/>
      <c r="D287" s="85"/>
      <c r="E287" s="86"/>
      <c r="F287" s="85"/>
      <c r="G287" s="87"/>
      <c r="H287" s="88"/>
      <c r="I287" s="85"/>
      <c r="J287" s="85"/>
      <c r="K287" s="85"/>
    </row>
    <row r="288" spans="1:11" x14ac:dyDescent="0.25">
      <c r="A288" s="86"/>
      <c r="B288" s="85"/>
      <c r="C288" s="85"/>
      <c r="D288" s="85"/>
      <c r="E288" s="86"/>
      <c r="F288" s="85"/>
      <c r="G288" s="87"/>
      <c r="H288" s="88"/>
      <c r="I288" s="85"/>
      <c r="J288" s="85"/>
      <c r="K288" s="85"/>
    </row>
    <row r="289" spans="1:11" x14ac:dyDescent="0.25">
      <c r="A289" s="86"/>
      <c r="B289" s="85"/>
      <c r="C289" s="85"/>
      <c r="D289" s="85"/>
      <c r="E289" s="86"/>
      <c r="F289" s="85"/>
      <c r="G289" s="87"/>
      <c r="H289" s="88"/>
      <c r="I289" s="85"/>
      <c r="J289" s="85"/>
      <c r="K289" s="85"/>
    </row>
    <row r="290" spans="1:11" x14ac:dyDescent="0.25">
      <c r="A290" s="86"/>
      <c r="B290" s="85"/>
      <c r="C290" s="85"/>
      <c r="D290" s="85"/>
      <c r="E290" s="86"/>
      <c r="F290" s="85"/>
      <c r="G290" s="87"/>
      <c r="H290" s="88"/>
      <c r="I290" s="85"/>
      <c r="J290" s="85"/>
      <c r="K290" s="85"/>
    </row>
    <row r="291" spans="1:11" x14ac:dyDescent="0.25">
      <c r="A291" s="86"/>
      <c r="B291" s="85"/>
      <c r="C291" s="85"/>
      <c r="D291" s="85"/>
      <c r="E291" s="86"/>
      <c r="F291" s="85"/>
      <c r="G291" s="87"/>
      <c r="H291" s="88"/>
      <c r="I291" s="85"/>
      <c r="J291" s="85"/>
      <c r="K291" s="85"/>
    </row>
    <row r="292" spans="1:11" x14ac:dyDescent="0.25">
      <c r="A292" s="86"/>
      <c r="B292" s="85"/>
      <c r="C292" s="85"/>
      <c r="D292" s="85"/>
      <c r="E292" s="86"/>
      <c r="F292" s="85"/>
      <c r="G292" s="87"/>
      <c r="H292" s="88"/>
      <c r="I292" s="85"/>
      <c r="J292" s="85"/>
      <c r="K292" s="85"/>
    </row>
    <row r="293" spans="1:11" x14ac:dyDescent="0.25">
      <c r="A293" s="86"/>
      <c r="B293" s="85"/>
      <c r="C293" s="85"/>
      <c r="D293" s="85"/>
      <c r="E293" s="86"/>
      <c r="F293" s="85"/>
      <c r="G293" s="87"/>
      <c r="H293" s="88"/>
      <c r="I293" s="85"/>
      <c r="J293" s="85"/>
      <c r="K293" s="85"/>
    </row>
    <row r="294" spans="1:11" x14ac:dyDescent="0.25">
      <c r="A294" s="86"/>
      <c r="B294" s="85"/>
      <c r="C294" s="85"/>
      <c r="D294" s="85"/>
      <c r="E294" s="86"/>
      <c r="F294" s="85"/>
      <c r="G294" s="87"/>
      <c r="H294" s="88"/>
      <c r="I294" s="85"/>
      <c r="J294" s="85"/>
      <c r="K294" s="85"/>
    </row>
    <row r="295" spans="1:11" x14ac:dyDescent="0.25">
      <c r="A295" s="86"/>
      <c r="B295" s="85"/>
      <c r="C295" s="85"/>
      <c r="D295" s="85"/>
      <c r="E295" s="86"/>
      <c r="F295" s="85"/>
      <c r="G295" s="87"/>
      <c r="H295" s="88"/>
      <c r="I295" s="85"/>
      <c r="J295" s="85"/>
      <c r="K295" s="85"/>
    </row>
    <row r="296" spans="1:11" x14ac:dyDescent="0.25">
      <c r="A296" s="86"/>
      <c r="B296" s="85"/>
      <c r="C296" s="85"/>
      <c r="D296" s="85"/>
      <c r="E296" s="86"/>
      <c r="F296" s="85"/>
      <c r="G296" s="87"/>
      <c r="H296" s="88"/>
      <c r="I296" s="85"/>
      <c r="J296" s="85"/>
      <c r="K296" s="85"/>
    </row>
    <row r="297" spans="1:11" x14ac:dyDescent="0.25">
      <c r="A297" s="86"/>
      <c r="B297" s="85"/>
      <c r="C297" s="85"/>
      <c r="D297" s="85"/>
      <c r="E297" s="86"/>
      <c r="F297" s="85"/>
      <c r="G297" s="87"/>
      <c r="H297" s="88"/>
      <c r="I297" s="85"/>
      <c r="J297" s="85"/>
      <c r="K297" s="85"/>
    </row>
    <row r="298" spans="1:11" x14ac:dyDescent="0.25">
      <c r="A298" s="86"/>
      <c r="B298" s="85"/>
      <c r="C298" s="85"/>
      <c r="D298" s="85"/>
      <c r="E298" s="86"/>
      <c r="F298" s="85"/>
      <c r="G298" s="87"/>
      <c r="H298" s="88"/>
      <c r="I298" s="85"/>
      <c r="J298" s="85"/>
      <c r="K298" s="85"/>
    </row>
    <row r="299" spans="1:11" x14ac:dyDescent="0.25">
      <c r="A299" s="86"/>
      <c r="B299" s="85"/>
      <c r="C299" s="85"/>
      <c r="D299" s="85"/>
      <c r="E299" s="86"/>
      <c r="F299" s="85"/>
      <c r="G299" s="87"/>
      <c r="H299" s="88"/>
      <c r="I299" s="85"/>
      <c r="J299" s="85"/>
      <c r="K299" s="85"/>
    </row>
    <row r="300" spans="1:11" x14ac:dyDescent="0.25">
      <c r="A300" s="86"/>
      <c r="B300" s="85"/>
      <c r="C300" s="85"/>
      <c r="D300" s="85"/>
      <c r="E300" s="86"/>
      <c r="F300" s="85"/>
      <c r="G300" s="87"/>
      <c r="H300" s="88"/>
      <c r="I300" s="85"/>
      <c r="J300" s="85"/>
      <c r="K300" s="85"/>
    </row>
    <row r="301" spans="1:11" x14ac:dyDescent="0.25">
      <c r="A301" s="86"/>
      <c r="B301" s="85"/>
      <c r="C301" s="85"/>
      <c r="D301" s="85"/>
      <c r="E301" s="86"/>
      <c r="F301" s="85"/>
      <c r="G301" s="87"/>
      <c r="H301" s="88"/>
      <c r="I301" s="85"/>
      <c r="J301" s="85"/>
      <c r="K301" s="85"/>
    </row>
    <row r="302" spans="1:11" x14ac:dyDescent="0.25">
      <c r="A302" s="86"/>
      <c r="B302" s="85"/>
      <c r="C302" s="85"/>
      <c r="D302" s="85"/>
      <c r="E302" s="86"/>
      <c r="F302" s="85"/>
      <c r="G302" s="87"/>
      <c r="H302" s="88"/>
      <c r="I302" s="85"/>
      <c r="J302" s="85"/>
      <c r="K302" s="85"/>
    </row>
    <row r="303" spans="1:11" x14ac:dyDescent="0.25">
      <c r="A303" s="86"/>
      <c r="B303" s="85"/>
      <c r="C303" s="85"/>
      <c r="D303" s="85"/>
      <c r="E303" s="86"/>
      <c r="F303" s="85"/>
      <c r="G303" s="87"/>
      <c r="H303" s="88"/>
      <c r="I303" s="85"/>
      <c r="J303" s="85"/>
      <c r="K303" s="85"/>
    </row>
    <row r="304" spans="1:11" x14ac:dyDescent="0.25">
      <c r="A304" s="86"/>
      <c r="B304" s="85"/>
      <c r="C304" s="85"/>
      <c r="D304" s="85"/>
      <c r="E304" s="86"/>
      <c r="F304" s="85"/>
      <c r="G304" s="87"/>
      <c r="H304" s="88"/>
      <c r="I304" s="85"/>
      <c r="J304" s="85"/>
      <c r="K304" s="85"/>
    </row>
    <row r="305" spans="1:11" x14ac:dyDescent="0.25">
      <c r="A305" s="86"/>
      <c r="B305" s="85"/>
      <c r="C305" s="85"/>
      <c r="D305" s="85"/>
      <c r="E305" s="86"/>
      <c r="F305" s="85"/>
      <c r="G305" s="87"/>
      <c r="H305" s="88"/>
      <c r="I305" s="85"/>
      <c r="J305" s="85"/>
      <c r="K305" s="85"/>
    </row>
    <row r="306" spans="1:11" x14ac:dyDescent="0.25">
      <c r="A306" s="86"/>
      <c r="B306" s="85"/>
      <c r="C306" s="85"/>
      <c r="D306" s="85"/>
      <c r="E306" s="86"/>
      <c r="F306" s="85"/>
      <c r="G306" s="87"/>
      <c r="H306" s="88"/>
      <c r="I306" s="85"/>
      <c r="J306" s="85"/>
      <c r="K306" s="85"/>
    </row>
    <row r="307" spans="1:11" x14ac:dyDescent="0.25">
      <c r="A307" s="86"/>
      <c r="B307" s="85"/>
      <c r="C307" s="85"/>
      <c r="D307" s="85"/>
      <c r="E307" s="86"/>
      <c r="F307" s="85"/>
      <c r="G307" s="87"/>
      <c r="H307" s="88"/>
      <c r="I307" s="85"/>
      <c r="J307" s="85"/>
      <c r="K307" s="85"/>
    </row>
    <row r="308" spans="1:11" x14ac:dyDescent="0.25">
      <c r="A308" s="86"/>
      <c r="B308" s="85"/>
      <c r="C308" s="85"/>
      <c r="D308" s="85"/>
      <c r="E308" s="86"/>
      <c r="F308" s="85"/>
      <c r="G308" s="87"/>
      <c r="H308" s="88"/>
      <c r="I308" s="85"/>
      <c r="J308" s="85"/>
      <c r="K308" s="85"/>
    </row>
    <row r="309" spans="1:11" x14ac:dyDescent="0.25">
      <c r="A309" s="86"/>
      <c r="B309" s="85"/>
      <c r="C309" s="85"/>
      <c r="D309" s="85"/>
      <c r="E309" s="86"/>
      <c r="F309" s="85"/>
      <c r="G309" s="87"/>
      <c r="H309" s="88"/>
      <c r="I309" s="85"/>
      <c r="J309" s="85"/>
      <c r="K309" s="85"/>
    </row>
    <row r="310" spans="1:11" x14ac:dyDescent="0.25">
      <c r="A310" s="86"/>
      <c r="B310" s="85"/>
      <c r="C310" s="85"/>
      <c r="D310" s="85"/>
      <c r="E310" s="86"/>
      <c r="F310" s="85"/>
      <c r="G310" s="87"/>
      <c r="H310" s="88"/>
      <c r="I310" s="85"/>
      <c r="J310" s="85"/>
      <c r="K310" s="85"/>
    </row>
    <row r="311" spans="1:11" x14ac:dyDescent="0.25">
      <c r="A311" s="86"/>
      <c r="B311" s="85"/>
      <c r="C311" s="85"/>
      <c r="D311" s="85"/>
      <c r="E311" s="86"/>
      <c r="F311" s="85"/>
      <c r="G311" s="87"/>
      <c r="H311" s="88"/>
      <c r="I311" s="85"/>
      <c r="J311" s="85"/>
      <c r="K311" s="85"/>
    </row>
    <row r="312" spans="1:11" x14ac:dyDescent="0.25">
      <c r="A312" s="86"/>
      <c r="B312" s="85"/>
      <c r="C312" s="85"/>
      <c r="D312" s="85"/>
      <c r="E312" s="86"/>
      <c r="F312" s="85"/>
      <c r="G312" s="87"/>
      <c r="H312" s="88"/>
      <c r="I312" s="85"/>
      <c r="J312" s="85"/>
      <c r="K312" s="85"/>
    </row>
    <row r="313" spans="1:11" x14ac:dyDescent="0.25">
      <c r="A313" s="86"/>
      <c r="B313" s="85"/>
      <c r="C313" s="85"/>
      <c r="D313" s="85"/>
      <c r="E313" s="86"/>
      <c r="F313" s="85"/>
      <c r="G313" s="87"/>
      <c r="H313" s="88"/>
      <c r="I313" s="85"/>
      <c r="J313" s="85"/>
      <c r="K313" s="85"/>
    </row>
    <row r="314" spans="1:11" x14ac:dyDescent="0.25">
      <c r="A314" s="86"/>
      <c r="B314" s="85"/>
      <c r="C314" s="85"/>
      <c r="D314" s="85"/>
      <c r="E314" s="86"/>
      <c r="F314" s="85"/>
      <c r="G314" s="87"/>
      <c r="H314" s="88"/>
      <c r="I314" s="85"/>
      <c r="J314" s="85"/>
      <c r="K314" s="85"/>
    </row>
    <row r="315" spans="1:11" x14ac:dyDescent="0.25">
      <c r="A315" s="86"/>
      <c r="B315" s="85"/>
      <c r="C315" s="85"/>
      <c r="D315" s="85"/>
      <c r="E315" s="86"/>
      <c r="F315" s="85"/>
      <c r="G315" s="87"/>
      <c r="H315" s="88"/>
      <c r="I315" s="85"/>
      <c r="J315" s="85"/>
      <c r="K315" s="85"/>
    </row>
    <row r="316" spans="1:11" x14ac:dyDescent="0.25">
      <c r="A316" s="86"/>
      <c r="B316" s="85"/>
      <c r="C316" s="85"/>
      <c r="D316" s="85"/>
      <c r="E316" s="86"/>
      <c r="F316" s="85"/>
      <c r="G316" s="87"/>
      <c r="H316" s="88"/>
      <c r="I316" s="85"/>
      <c r="J316" s="85"/>
      <c r="K316" s="85"/>
    </row>
    <row r="317" spans="1:11" x14ac:dyDescent="0.25">
      <c r="A317" s="86"/>
      <c r="B317" s="85"/>
      <c r="C317" s="85"/>
      <c r="D317" s="85"/>
      <c r="E317" s="86"/>
      <c r="F317" s="85"/>
      <c r="G317" s="87"/>
      <c r="H317" s="88"/>
      <c r="I317" s="85"/>
      <c r="J317" s="85"/>
      <c r="K317" s="85"/>
    </row>
    <row r="318" spans="1:11" x14ac:dyDescent="0.25">
      <c r="A318" s="86"/>
      <c r="B318" s="85"/>
      <c r="C318" s="85"/>
      <c r="D318" s="85"/>
      <c r="E318" s="86"/>
      <c r="F318" s="85"/>
      <c r="G318" s="87"/>
      <c r="H318" s="88"/>
      <c r="I318" s="85"/>
      <c r="J318" s="85"/>
      <c r="K318" s="85"/>
    </row>
    <row r="319" spans="1:11" x14ac:dyDescent="0.25">
      <c r="A319" s="86"/>
      <c r="B319" s="85"/>
      <c r="C319" s="85"/>
      <c r="D319" s="85"/>
      <c r="E319" s="86"/>
      <c r="F319" s="85"/>
      <c r="G319" s="87"/>
      <c r="H319" s="88"/>
      <c r="I319" s="85"/>
      <c r="J319" s="85"/>
      <c r="K319" s="85"/>
    </row>
    <row r="320" spans="1:11" x14ac:dyDescent="0.25">
      <c r="A320" s="86"/>
      <c r="B320" s="85"/>
      <c r="C320" s="85"/>
      <c r="D320" s="85"/>
      <c r="E320" s="86"/>
      <c r="F320" s="85"/>
      <c r="G320" s="87"/>
      <c r="H320" s="88"/>
      <c r="I320" s="85"/>
      <c r="J320" s="85"/>
      <c r="K320" s="85"/>
    </row>
    <row r="321" spans="1:11" x14ac:dyDescent="0.25">
      <c r="A321" s="86"/>
      <c r="B321" s="85"/>
      <c r="C321" s="85"/>
      <c r="D321" s="85"/>
      <c r="E321" s="86"/>
      <c r="F321" s="85"/>
      <c r="G321" s="87"/>
      <c r="H321" s="88"/>
      <c r="I321" s="85"/>
      <c r="J321" s="85"/>
      <c r="K321" s="85"/>
    </row>
    <row r="322" spans="1:11" x14ac:dyDescent="0.25">
      <c r="A322" s="86"/>
      <c r="B322" s="85"/>
      <c r="C322" s="85"/>
      <c r="D322" s="85"/>
      <c r="E322" s="86"/>
      <c r="F322" s="85"/>
      <c r="G322" s="87"/>
      <c r="H322" s="88"/>
      <c r="I322" s="85"/>
      <c r="J322" s="85"/>
      <c r="K322" s="85"/>
    </row>
    <row r="323" spans="1:11" x14ac:dyDescent="0.25">
      <c r="A323" s="86"/>
      <c r="B323" s="85"/>
      <c r="C323" s="85"/>
      <c r="D323" s="85"/>
      <c r="E323" s="86"/>
      <c r="F323" s="85"/>
      <c r="G323" s="87"/>
      <c r="H323" s="88"/>
      <c r="I323" s="85"/>
      <c r="J323" s="85"/>
      <c r="K323" s="85"/>
    </row>
    <row r="324" spans="1:11" x14ac:dyDescent="0.25">
      <c r="A324" s="86"/>
      <c r="B324" s="85"/>
      <c r="C324" s="85"/>
      <c r="D324" s="85"/>
      <c r="E324" s="86"/>
      <c r="F324" s="85"/>
      <c r="G324" s="87"/>
      <c r="H324" s="88"/>
      <c r="I324" s="85"/>
      <c r="J324" s="85"/>
      <c r="K324" s="85"/>
    </row>
    <row r="325" spans="1:11" x14ac:dyDescent="0.25">
      <c r="A325" s="86"/>
      <c r="B325" s="85"/>
      <c r="C325" s="85"/>
      <c r="D325" s="85"/>
      <c r="E325" s="86"/>
      <c r="F325" s="85"/>
      <c r="G325" s="87"/>
      <c r="H325" s="88"/>
      <c r="I325" s="85"/>
      <c r="J325" s="85"/>
      <c r="K325" s="85"/>
    </row>
    <row r="326" spans="1:11" x14ac:dyDescent="0.25">
      <c r="A326" s="86"/>
      <c r="B326" s="85"/>
      <c r="C326" s="85"/>
      <c r="D326" s="85"/>
      <c r="E326" s="86"/>
      <c r="F326" s="85"/>
      <c r="G326" s="87"/>
      <c r="H326" s="88"/>
      <c r="I326" s="85"/>
      <c r="J326" s="85"/>
      <c r="K326" s="85"/>
    </row>
    <row r="327" spans="1:11" x14ac:dyDescent="0.25">
      <c r="A327" s="86"/>
      <c r="B327" s="85"/>
      <c r="C327" s="85"/>
      <c r="D327" s="85"/>
      <c r="E327" s="86"/>
      <c r="F327" s="85"/>
      <c r="G327" s="87"/>
      <c r="H327" s="88"/>
      <c r="I327" s="85"/>
      <c r="J327" s="85"/>
      <c r="K327" s="85"/>
    </row>
    <row r="328" spans="1:11" x14ac:dyDescent="0.25">
      <c r="A328" s="86"/>
      <c r="B328" s="85"/>
      <c r="C328" s="85"/>
      <c r="D328" s="85"/>
      <c r="E328" s="86"/>
      <c r="F328" s="85"/>
      <c r="G328" s="87"/>
      <c r="H328" s="88"/>
      <c r="I328" s="85"/>
      <c r="J328" s="85"/>
      <c r="K328" s="85"/>
    </row>
    <row r="329" spans="1:11" x14ac:dyDescent="0.25">
      <c r="A329" s="86"/>
      <c r="B329" s="85"/>
      <c r="C329" s="85"/>
      <c r="D329" s="85"/>
      <c r="E329" s="86"/>
      <c r="F329" s="85"/>
      <c r="G329" s="87"/>
      <c r="H329" s="88"/>
      <c r="I329" s="85"/>
      <c r="J329" s="85"/>
      <c r="K329" s="85"/>
    </row>
    <row r="330" spans="1:11" x14ac:dyDescent="0.25">
      <c r="A330" s="86"/>
      <c r="B330" s="85"/>
      <c r="C330" s="85"/>
      <c r="D330" s="85"/>
      <c r="E330" s="86"/>
      <c r="F330" s="85"/>
      <c r="G330" s="87"/>
      <c r="H330" s="88"/>
      <c r="I330" s="85"/>
      <c r="J330" s="85"/>
      <c r="K330" s="85"/>
    </row>
    <row r="331" spans="1:11" x14ac:dyDescent="0.25">
      <c r="A331" s="86"/>
      <c r="B331" s="85"/>
      <c r="C331" s="85"/>
      <c r="D331" s="85"/>
      <c r="E331" s="86"/>
      <c r="F331" s="85"/>
      <c r="G331" s="87"/>
      <c r="H331" s="88"/>
      <c r="I331" s="85"/>
      <c r="J331" s="85"/>
      <c r="K331" s="85"/>
    </row>
    <row r="332" spans="1:11" x14ac:dyDescent="0.25">
      <c r="A332" s="86"/>
      <c r="B332" s="85"/>
      <c r="C332" s="85"/>
      <c r="D332" s="85"/>
      <c r="E332" s="86"/>
      <c r="F332" s="85"/>
      <c r="G332" s="87"/>
      <c r="H332" s="88"/>
      <c r="I332" s="85"/>
      <c r="J332" s="85"/>
      <c r="K332" s="85"/>
    </row>
    <row r="333" spans="1:11" x14ac:dyDescent="0.25">
      <c r="A333" s="86"/>
      <c r="B333" s="85"/>
      <c r="C333" s="85"/>
      <c r="D333" s="85"/>
      <c r="E333" s="86"/>
      <c r="F333" s="85"/>
      <c r="G333" s="87"/>
      <c r="H333" s="88"/>
      <c r="I333" s="85"/>
      <c r="J333" s="85"/>
      <c r="K333" s="85"/>
    </row>
    <row r="334" spans="1:11" x14ac:dyDescent="0.25">
      <c r="A334" s="86"/>
      <c r="B334" s="85"/>
      <c r="C334" s="85"/>
      <c r="D334" s="85"/>
      <c r="E334" s="86"/>
      <c r="F334" s="85"/>
      <c r="G334" s="87"/>
      <c r="H334" s="88"/>
      <c r="I334" s="85"/>
      <c r="J334" s="85"/>
      <c r="K334" s="85"/>
    </row>
    <row r="335" spans="1:11" x14ac:dyDescent="0.25">
      <c r="A335" s="86"/>
      <c r="B335" s="85"/>
      <c r="C335" s="85"/>
      <c r="D335" s="85"/>
      <c r="E335" s="86"/>
      <c r="F335" s="85"/>
      <c r="G335" s="87"/>
      <c r="H335" s="88"/>
      <c r="I335" s="85"/>
      <c r="J335" s="85"/>
      <c r="K335" s="85"/>
    </row>
    <row r="336" spans="1:11" x14ac:dyDescent="0.25">
      <c r="A336" s="86"/>
      <c r="B336" s="85"/>
      <c r="C336" s="85"/>
      <c r="D336" s="85"/>
      <c r="E336" s="86"/>
      <c r="F336" s="85"/>
      <c r="G336" s="87"/>
      <c r="H336" s="88"/>
      <c r="I336" s="85"/>
      <c r="J336" s="85"/>
      <c r="K336" s="85"/>
    </row>
    <row r="337" spans="1:11" x14ac:dyDescent="0.25">
      <c r="A337" s="86"/>
      <c r="B337" s="85"/>
      <c r="C337" s="85"/>
      <c r="D337" s="85"/>
      <c r="E337" s="86"/>
      <c r="F337" s="85"/>
      <c r="G337" s="87"/>
      <c r="H337" s="88"/>
      <c r="I337" s="85"/>
      <c r="J337" s="85"/>
      <c r="K337" s="85"/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7"/>
  <sheetViews>
    <sheetView tabSelected="1" workbookViewId="0">
      <selection activeCell="A4" sqref="A4:H4"/>
    </sheetView>
  </sheetViews>
  <sheetFormatPr defaultRowHeight="15.75" x14ac:dyDescent="0.25"/>
  <cols>
    <col min="1" max="1" width="5.28515625" style="21" customWidth="1"/>
    <col min="2" max="2" width="20.5703125" style="1" bestFit="1" customWidth="1"/>
    <col min="3" max="3" width="11.5703125" style="1" customWidth="1"/>
    <col min="4" max="4" width="21" style="1" customWidth="1"/>
    <col min="5" max="5" width="14" style="21" customWidth="1"/>
    <col min="6" max="6" width="18.28515625" style="1" customWidth="1"/>
    <col min="7" max="7" width="11.7109375" style="33" customWidth="1"/>
    <col min="8" max="8" width="23.140625" style="39" customWidth="1"/>
    <col min="9" max="16384" width="9.140625" style="1"/>
  </cols>
  <sheetData>
    <row r="1" spans="1:11" x14ac:dyDescent="0.25">
      <c r="A1" s="115" t="s">
        <v>0</v>
      </c>
      <c r="B1" s="115"/>
      <c r="C1" s="115"/>
      <c r="D1" s="115"/>
      <c r="E1" s="115"/>
      <c r="F1" s="115"/>
      <c r="G1" s="115"/>
      <c r="H1" s="115"/>
    </row>
    <row r="2" spans="1:11" x14ac:dyDescent="0.25">
      <c r="A2" s="115" t="s">
        <v>1</v>
      </c>
      <c r="B2" s="115"/>
      <c r="C2" s="115"/>
      <c r="D2" s="115"/>
      <c r="E2" s="115"/>
      <c r="F2" s="115"/>
      <c r="G2" s="115"/>
      <c r="H2" s="115"/>
    </row>
    <row r="4" spans="1:11" x14ac:dyDescent="0.25">
      <c r="A4" s="115" t="s">
        <v>2</v>
      </c>
      <c r="B4" s="115"/>
      <c r="C4" s="115"/>
      <c r="D4" s="115"/>
      <c r="E4" s="115"/>
      <c r="F4" s="115"/>
      <c r="G4" s="115"/>
      <c r="H4" s="115"/>
    </row>
    <row r="6" spans="1:11" x14ac:dyDescent="0.25">
      <c r="A6" s="116" t="s">
        <v>3</v>
      </c>
      <c r="B6" s="116"/>
      <c r="C6" s="116"/>
      <c r="D6" s="116"/>
      <c r="E6" s="116"/>
      <c r="F6" s="116"/>
      <c r="G6" s="116"/>
      <c r="H6" s="116"/>
      <c r="I6" s="85"/>
      <c r="J6" s="85"/>
      <c r="K6" s="85"/>
    </row>
    <row r="7" spans="1:11" x14ac:dyDescent="0.25">
      <c r="A7" s="86"/>
      <c r="B7" s="85"/>
      <c r="C7" s="85"/>
      <c r="D7" s="85"/>
      <c r="E7" s="86"/>
      <c r="F7" s="85"/>
      <c r="G7" s="87"/>
      <c r="H7" s="88"/>
      <c r="I7" s="85"/>
      <c r="J7" s="85"/>
      <c r="K7" s="85"/>
    </row>
    <row r="8" spans="1:11" s="2" customFormat="1" ht="47.25" x14ac:dyDescent="0.25">
      <c r="A8" s="76" t="s">
        <v>4</v>
      </c>
      <c r="B8" s="76" t="s">
        <v>5</v>
      </c>
      <c r="C8" s="76" t="s">
        <v>6</v>
      </c>
      <c r="D8" s="76" t="s">
        <v>7</v>
      </c>
      <c r="E8" s="76" t="s">
        <v>8</v>
      </c>
      <c r="F8" s="76" t="s">
        <v>9</v>
      </c>
      <c r="G8" s="89" t="s">
        <v>128</v>
      </c>
      <c r="H8" s="89" t="s">
        <v>10</v>
      </c>
      <c r="I8" s="90"/>
      <c r="J8" s="90"/>
      <c r="K8" s="90"/>
    </row>
    <row r="9" spans="1:11" x14ac:dyDescent="0.25">
      <c r="A9" s="91">
        <v>1</v>
      </c>
      <c r="B9" s="9" t="s">
        <v>11</v>
      </c>
      <c r="C9" s="14" t="s">
        <v>12</v>
      </c>
      <c r="D9" s="14" t="s">
        <v>110</v>
      </c>
      <c r="E9" s="91" t="s">
        <v>40</v>
      </c>
      <c r="F9" s="14">
        <v>25000</v>
      </c>
      <c r="G9" s="79">
        <v>0</v>
      </c>
      <c r="H9" s="92" t="s">
        <v>106</v>
      </c>
      <c r="I9" s="85"/>
      <c r="J9" s="85"/>
      <c r="K9" s="85"/>
    </row>
    <row r="10" spans="1:11" x14ac:dyDescent="0.25">
      <c r="A10" s="93"/>
      <c r="B10" s="10"/>
      <c r="C10" s="11" t="s">
        <v>13</v>
      </c>
      <c r="D10" s="11" t="s">
        <v>110</v>
      </c>
      <c r="E10" s="93" t="s">
        <v>40</v>
      </c>
      <c r="F10" s="11">
        <v>25000</v>
      </c>
      <c r="G10" s="94">
        <v>0</v>
      </c>
      <c r="H10" s="95" t="s">
        <v>106</v>
      </c>
      <c r="I10" s="85"/>
      <c r="J10" s="85"/>
      <c r="K10" s="85"/>
    </row>
    <row r="11" spans="1:11" x14ac:dyDescent="0.25">
      <c r="A11" s="96"/>
      <c r="B11" s="12"/>
      <c r="C11" s="13" t="s">
        <v>14</v>
      </c>
      <c r="D11" s="13" t="s">
        <v>110</v>
      </c>
      <c r="E11" s="96" t="s">
        <v>41</v>
      </c>
      <c r="F11" s="13">
        <v>2500</v>
      </c>
      <c r="G11" s="79">
        <v>3.3000000000000002E-2</v>
      </c>
      <c r="H11" s="97">
        <f>F11/1000-G11</f>
        <v>2.4670000000000001</v>
      </c>
      <c r="I11" s="85"/>
      <c r="J11" s="85"/>
      <c r="K11" s="85"/>
    </row>
    <row r="12" spans="1:11" x14ac:dyDescent="0.25">
      <c r="A12" s="91">
        <v>2</v>
      </c>
      <c r="B12" s="9" t="s">
        <v>15</v>
      </c>
      <c r="C12" s="14" t="s">
        <v>12</v>
      </c>
      <c r="D12" s="14" t="s">
        <v>111</v>
      </c>
      <c r="E12" s="91" t="s">
        <v>43</v>
      </c>
      <c r="F12" s="14">
        <v>16000</v>
      </c>
      <c r="G12" s="79">
        <f>4275678/744000</f>
        <v>5.7468790322580645</v>
      </c>
      <c r="H12" s="92">
        <f t="shared" ref="H12:H49" si="0">F12/1000-G12</f>
        <v>10.253120967741935</v>
      </c>
      <c r="I12" s="85"/>
      <c r="J12" s="85"/>
      <c r="K12" s="85"/>
    </row>
    <row r="13" spans="1:11" x14ac:dyDescent="0.25">
      <c r="A13" s="96"/>
      <c r="B13" s="12"/>
      <c r="C13" s="13" t="s">
        <v>13</v>
      </c>
      <c r="D13" s="13" t="s">
        <v>111</v>
      </c>
      <c r="E13" s="96" t="s">
        <v>43</v>
      </c>
      <c r="F13" s="13">
        <v>16000</v>
      </c>
      <c r="G13" s="55">
        <f>643698/744000</f>
        <v>0.86518548387096772</v>
      </c>
      <c r="H13" s="97">
        <f t="shared" si="0"/>
        <v>15.134814516129032</v>
      </c>
      <c r="I13" s="85"/>
      <c r="J13" s="85"/>
      <c r="K13" s="85"/>
    </row>
    <row r="14" spans="1:11" x14ac:dyDescent="0.25">
      <c r="A14" s="98">
        <v>3</v>
      </c>
      <c r="B14" s="7" t="s">
        <v>16</v>
      </c>
      <c r="C14" s="72" t="s">
        <v>12</v>
      </c>
      <c r="D14" s="15" t="s">
        <v>110</v>
      </c>
      <c r="E14" s="98" t="s">
        <v>43</v>
      </c>
      <c r="F14" s="15">
        <v>10000</v>
      </c>
      <c r="G14" s="78">
        <f>20376/744000</f>
        <v>2.7387096774193549E-2</v>
      </c>
      <c r="H14" s="99">
        <f t="shared" si="0"/>
        <v>9.9726129032258068</v>
      </c>
      <c r="I14" s="85"/>
      <c r="J14" s="85"/>
      <c r="K14" s="85"/>
    </row>
    <row r="15" spans="1:11" x14ac:dyDescent="0.25">
      <c r="A15" s="100">
        <v>4</v>
      </c>
      <c r="B15" s="4" t="s">
        <v>17</v>
      </c>
      <c r="C15" s="15" t="s">
        <v>12</v>
      </c>
      <c r="D15" s="8" t="s">
        <v>110</v>
      </c>
      <c r="E15" s="100" t="s">
        <v>43</v>
      </c>
      <c r="F15" s="8">
        <v>10000</v>
      </c>
      <c r="G15" s="73">
        <f>7500/744000</f>
        <v>1.0080645161290322E-2</v>
      </c>
      <c r="H15" s="101">
        <f t="shared" si="0"/>
        <v>9.98991935483871</v>
      </c>
      <c r="I15" s="85"/>
      <c r="J15" s="85"/>
      <c r="K15" s="85"/>
    </row>
    <row r="16" spans="1:11" x14ac:dyDescent="0.25">
      <c r="A16" s="91">
        <v>5</v>
      </c>
      <c r="B16" s="9" t="s">
        <v>18</v>
      </c>
      <c r="C16" s="14" t="s">
        <v>12</v>
      </c>
      <c r="D16" s="14" t="s">
        <v>125</v>
      </c>
      <c r="E16" s="91" t="s">
        <v>43</v>
      </c>
      <c r="F16" s="14">
        <v>40000</v>
      </c>
      <c r="G16" s="79">
        <f>1616868/744000</f>
        <v>2.1732096774193548</v>
      </c>
      <c r="H16" s="92">
        <f t="shared" si="0"/>
        <v>37.826790322580642</v>
      </c>
      <c r="I16" s="85"/>
      <c r="J16" s="85"/>
      <c r="K16" s="85"/>
    </row>
    <row r="17" spans="1:11" x14ac:dyDescent="0.25">
      <c r="A17" s="96"/>
      <c r="B17" s="12"/>
      <c r="C17" s="13" t="s">
        <v>13</v>
      </c>
      <c r="D17" s="13" t="s">
        <v>125</v>
      </c>
      <c r="E17" s="96" t="s">
        <v>45</v>
      </c>
      <c r="F17" s="13">
        <v>5600</v>
      </c>
      <c r="G17" s="55">
        <f>(1012928+11200+4360+120)/744000</f>
        <v>1.3825376344086022</v>
      </c>
      <c r="H17" s="97">
        <f t="shared" si="0"/>
        <v>4.2174623655913974</v>
      </c>
      <c r="I17" s="85"/>
      <c r="J17" s="85"/>
      <c r="K17" s="85"/>
    </row>
    <row r="18" spans="1:11" x14ac:dyDescent="0.25">
      <c r="A18" s="91">
        <v>6</v>
      </c>
      <c r="B18" s="9" t="s">
        <v>19</v>
      </c>
      <c r="C18" s="14" t="s">
        <v>12</v>
      </c>
      <c r="D18" s="14" t="s">
        <v>112</v>
      </c>
      <c r="E18" s="91" t="s">
        <v>42</v>
      </c>
      <c r="F18" s="14">
        <v>20000</v>
      </c>
      <c r="G18" s="79">
        <f>184950/744000</f>
        <v>0.24858870967741936</v>
      </c>
      <c r="H18" s="95">
        <f>F18/1000-G18</f>
        <v>19.751411290322579</v>
      </c>
      <c r="I18" s="85"/>
      <c r="J18" s="85"/>
      <c r="K18" s="85"/>
    </row>
    <row r="19" spans="1:11" x14ac:dyDescent="0.25">
      <c r="A19" s="93"/>
      <c r="B19" s="10"/>
      <c r="C19" s="11" t="s">
        <v>13</v>
      </c>
      <c r="D19" s="11"/>
      <c r="E19" s="93" t="s">
        <v>42</v>
      </c>
      <c r="F19" s="11">
        <v>20000</v>
      </c>
      <c r="G19" s="94">
        <f>171030/744000</f>
        <v>0.22987903225806453</v>
      </c>
      <c r="H19" s="95">
        <f t="shared" si="0"/>
        <v>19.770120967741935</v>
      </c>
      <c r="I19" s="85"/>
      <c r="J19" s="85"/>
      <c r="K19" s="85"/>
    </row>
    <row r="20" spans="1:11" x14ac:dyDescent="0.25">
      <c r="A20" s="96"/>
      <c r="B20" s="12"/>
      <c r="C20" s="13" t="s">
        <v>14</v>
      </c>
      <c r="D20" s="13"/>
      <c r="E20" s="96" t="s">
        <v>43</v>
      </c>
      <c r="F20" s="13">
        <v>10000</v>
      </c>
      <c r="G20" s="55">
        <f>372442/744000</f>
        <v>0.50059408602150535</v>
      </c>
      <c r="H20" s="97">
        <f t="shared" si="0"/>
        <v>9.4994059139784941</v>
      </c>
      <c r="I20" s="85"/>
      <c r="J20" s="85"/>
      <c r="K20" s="85"/>
    </row>
    <row r="21" spans="1:11" x14ac:dyDescent="0.25">
      <c r="A21" s="91">
        <v>7</v>
      </c>
      <c r="B21" s="9" t="s">
        <v>20</v>
      </c>
      <c r="C21" s="14" t="s">
        <v>12</v>
      </c>
      <c r="D21" s="14" t="s">
        <v>111</v>
      </c>
      <c r="E21" s="91" t="s">
        <v>42</v>
      </c>
      <c r="F21" s="14">
        <v>16000</v>
      </c>
      <c r="G21" s="79">
        <f>84690/744000</f>
        <v>0.11383064516129032</v>
      </c>
      <c r="H21" s="95">
        <f t="shared" si="0"/>
        <v>15.88616935483871</v>
      </c>
      <c r="I21" s="85"/>
      <c r="J21" s="85"/>
      <c r="K21" s="85"/>
    </row>
    <row r="22" spans="1:11" x14ac:dyDescent="0.25">
      <c r="A22" s="96"/>
      <c r="B22" s="12"/>
      <c r="C22" s="13" t="s">
        <v>13</v>
      </c>
      <c r="D22" s="13"/>
      <c r="E22" s="96" t="s">
        <v>42</v>
      </c>
      <c r="F22" s="13">
        <v>16000</v>
      </c>
      <c r="G22" s="55">
        <f>15480/744000</f>
        <v>2.0806451612903225E-2</v>
      </c>
      <c r="H22" s="55">
        <f t="shared" si="0"/>
        <v>15.979193548387096</v>
      </c>
      <c r="I22" s="85"/>
      <c r="J22" s="85"/>
      <c r="K22" s="85"/>
    </row>
    <row r="23" spans="1:11" x14ac:dyDescent="0.25">
      <c r="A23" s="100">
        <v>8</v>
      </c>
      <c r="B23" s="4" t="s">
        <v>21</v>
      </c>
      <c r="C23" s="15" t="s">
        <v>12</v>
      </c>
      <c r="D23" s="6" t="s">
        <v>113</v>
      </c>
      <c r="E23" s="100" t="s">
        <v>42</v>
      </c>
      <c r="F23" s="6">
        <v>2500</v>
      </c>
      <c r="G23" s="73">
        <f>39900/744000</f>
        <v>5.3629032258064514E-2</v>
      </c>
      <c r="H23" s="101">
        <f t="shared" si="0"/>
        <v>2.4463709677419354</v>
      </c>
      <c r="I23" s="85"/>
      <c r="J23" s="85"/>
      <c r="K23" s="85"/>
    </row>
    <row r="24" spans="1:11" x14ac:dyDescent="0.25">
      <c r="A24" s="91">
        <v>9</v>
      </c>
      <c r="B24" s="9" t="s">
        <v>22</v>
      </c>
      <c r="C24" s="14" t="s">
        <v>12</v>
      </c>
      <c r="D24" s="14" t="s">
        <v>114</v>
      </c>
      <c r="E24" s="91" t="s">
        <v>43</v>
      </c>
      <c r="F24" s="14">
        <v>6300</v>
      </c>
      <c r="G24" s="79">
        <f>16640/744000</f>
        <v>2.2365591397849462E-2</v>
      </c>
      <c r="H24" s="79">
        <f t="shared" si="0"/>
        <v>6.2776344086021503</v>
      </c>
      <c r="I24" s="85"/>
      <c r="J24" s="85"/>
      <c r="K24" s="85"/>
    </row>
    <row r="25" spans="1:11" x14ac:dyDescent="0.25">
      <c r="A25" s="96"/>
      <c r="B25" s="12"/>
      <c r="C25" s="13" t="s">
        <v>13</v>
      </c>
      <c r="D25" s="13"/>
      <c r="E25" s="96" t="s">
        <v>43</v>
      </c>
      <c r="F25" s="13">
        <v>6300</v>
      </c>
      <c r="G25" s="55">
        <f>438312/744000</f>
        <v>0.58912903225806457</v>
      </c>
      <c r="H25" s="97">
        <f t="shared" si="0"/>
        <v>5.7108709677419354</v>
      </c>
      <c r="I25" s="85"/>
      <c r="J25" s="85"/>
      <c r="K25" s="85"/>
    </row>
    <row r="26" spans="1:11" x14ac:dyDescent="0.25">
      <c r="A26" s="91">
        <v>10</v>
      </c>
      <c r="B26" s="9" t="s">
        <v>23</v>
      </c>
      <c r="C26" s="14" t="s">
        <v>12</v>
      </c>
      <c r="D26" s="14" t="s">
        <v>111</v>
      </c>
      <c r="E26" s="91" t="s">
        <v>42</v>
      </c>
      <c r="F26" s="14">
        <v>16000</v>
      </c>
      <c r="G26" s="79">
        <f>1148220/744000</f>
        <v>1.5433064516129031</v>
      </c>
      <c r="H26" s="79">
        <f t="shared" si="0"/>
        <v>14.456693548387097</v>
      </c>
      <c r="I26" s="85"/>
      <c r="J26" s="85"/>
      <c r="K26" s="85"/>
    </row>
    <row r="27" spans="1:11" x14ac:dyDescent="0.25">
      <c r="A27" s="96"/>
      <c r="B27" s="12"/>
      <c r="C27" s="13" t="s">
        <v>13</v>
      </c>
      <c r="D27" s="13"/>
      <c r="E27" s="96" t="s">
        <v>42</v>
      </c>
      <c r="F27" s="13">
        <v>16000</v>
      </c>
      <c r="G27" s="55">
        <v>0</v>
      </c>
      <c r="H27" s="97" t="s">
        <v>106</v>
      </c>
      <c r="I27" s="85"/>
      <c r="J27" s="85"/>
      <c r="K27" s="85"/>
    </row>
    <row r="28" spans="1:11" ht="31.5" x14ac:dyDescent="0.25">
      <c r="A28" s="100">
        <v>11</v>
      </c>
      <c r="B28" s="4" t="s">
        <v>24</v>
      </c>
      <c r="C28" s="15" t="s">
        <v>12</v>
      </c>
      <c r="D28" s="74" t="s">
        <v>115</v>
      </c>
      <c r="E28" s="100" t="s">
        <v>42</v>
      </c>
      <c r="F28" s="15">
        <v>2500</v>
      </c>
      <c r="G28" s="73">
        <f>14030/744000</f>
        <v>1.8857526881720429E-2</v>
      </c>
      <c r="H28" s="101">
        <f t="shared" si="0"/>
        <v>2.4811424731182794</v>
      </c>
      <c r="I28" s="85"/>
      <c r="J28" s="85"/>
      <c r="K28" s="85"/>
    </row>
    <row r="29" spans="1:11" x14ac:dyDescent="0.25">
      <c r="A29" s="100">
        <v>12</v>
      </c>
      <c r="B29" s="4" t="s">
        <v>25</v>
      </c>
      <c r="C29" s="15" t="s">
        <v>12</v>
      </c>
      <c r="D29" s="8" t="s">
        <v>116</v>
      </c>
      <c r="E29" s="100" t="s">
        <v>42</v>
      </c>
      <c r="F29" s="8">
        <v>2500</v>
      </c>
      <c r="G29" s="73">
        <f>29012/744000</f>
        <v>3.8994623655913982E-2</v>
      </c>
      <c r="H29" s="101">
        <f t="shared" si="0"/>
        <v>2.4610053763440862</v>
      </c>
      <c r="I29" s="85"/>
      <c r="J29" s="85"/>
      <c r="K29" s="85"/>
    </row>
    <row r="30" spans="1:11" x14ac:dyDescent="0.25">
      <c r="A30" s="91">
        <v>13</v>
      </c>
      <c r="B30" s="9" t="s">
        <v>26</v>
      </c>
      <c r="C30" s="14" t="s">
        <v>12</v>
      </c>
      <c r="D30" s="14" t="s">
        <v>117</v>
      </c>
      <c r="E30" s="91" t="s">
        <v>43</v>
      </c>
      <c r="F30" s="14">
        <v>40000</v>
      </c>
      <c r="G30" s="79">
        <f>2032842/744000</f>
        <v>2.7323145161290321</v>
      </c>
      <c r="H30" s="92">
        <f t="shared" si="0"/>
        <v>37.26768548387097</v>
      </c>
      <c r="I30" s="85"/>
      <c r="J30" s="85"/>
      <c r="K30" s="85"/>
    </row>
    <row r="31" spans="1:11" x14ac:dyDescent="0.25">
      <c r="A31" s="96"/>
      <c r="B31" s="12"/>
      <c r="C31" s="13" t="s">
        <v>13</v>
      </c>
      <c r="D31" s="13"/>
      <c r="E31" s="96" t="s">
        <v>43</v>
      </c>
      <c r="F31" s="13">
        <v>20000</v>
      </c>
      <c r="G31" s="55">
        <f>5043696/744000</f>
        <v>6.7791612903225804</v>
      </c>
      <c r="H31" s="97">
        <f>F31/1000-G31</f>
        <v>13.22083870967742</v>
      </c>
      <c r="I31" s="85"/>
      <c r="J31" s="85"/>
      <c r="K31" s="85"/>
    </row>
    <row r="32" spans="1:11" ht="31.5" x14ac:dyDescent="0.25">
      <c r="A32" s="91">
        <v>14</v>
      </c>
      <c r="B32" s="9" t="s">
        <v>27</v>
      </c>
      <c r="C32" s="14" t="s">
        <v>12</v>
      </c>
      <c r="D32" s="75" t="s">
        <v>118</v>
      </c>
      <c r="E32" s="91" t="s">
        <v>42</v>
      </c>
      <c r="F32" s="14">
        <v>10000</v>
      </c>
      <c r="G32" s="79">
        <f>496668/744000</f>
        <v>0.66756451612903223</v>
      </c>
      <c r="H32" s="79">
        <f t="shared" si="0"/>
        <v>9.3324354838709684</v>
      </c>
      <c r="I32" s="85"/>
      <c r="J32" s="85"/>
      <c r="K32" s="85"/>
    </row>
    <row r="33" spans="1:11" x14ac:dyDescent="0.25">
      <c r="A33" s="96"/>
      <c r="B33" s="12"/>
      <c r="C33" s="13" t="s">
        <v>13</v>
      </c>
      <c r="D33" s="13"/>
      <c r="E33" s="96" t="s">
        <v>42</v>
      </c>
      <c r="F33" s="13">
        <v>10000</v>
      </c>
      <c r="G33" s="55">
        <f>119724/744000</f>
        <v>0.16091935483870967</v>
      </c>
      <c r="H33" s="79">
        <f t="shared" si="0"/>
        <v>9.8390806451612907</v>
      </c>
      <c r="I33" s="85"/>
      <c r="J33" s="85"/>
      <c r="K33" s="85"/>
    </row>
    <row r="34" spans="1:11" x14ac:dyDescent="0.25">
      <c r="A34" s="100">
        <v>15</v>
      </c>
      <c r="B34" s="4" t="s">
        <v>28</v>
      </c>
      <c r="C34" s="15" t="s">
        <v>12</v>
      </c>
      <c r="D34" s="6" t="s">
        <v>119</v>
      </c>
      <c r="E34" s="100" t="s">
        <v>44</v>
      </c>
      <c r="F34" s="6">
        <v>6300</v>
      </c>
      <c r="G34" s="73">
        <f>46224/744000</f>
        <v>6.2129032258064515E-2</v>
      </c>
      <c r="H34" s="101">
        <f t="shared" si="0"/>
        <v>6.2378709677419355</v>
      </c>
      <c r="I34" s="85"/>
      <c r="J34" s="85"/>
      <c r="K34" s="85"/>
    </row>
    <row r="35" spans="1:11" ht="47.25" x14ac:dyDescent="0.25">
      <c r="A35" s="91">
        <v>16</v>
      </c>
      <c r="B35" s="9" t="s">
        <v>29</v>
      </c>
      <c r="C35" s="14" t="s">
        <v>12</v>
      </c>
      <c r="D35" s="75" t="s">
        <v>127</v>
      </c>
      <c r="E35" s="91" t="s">
        <v>42</v>
      </c>
      <c r="F35" s="14">
        <v>6300</v>
      </c>
      <c r="G35" s="79">
        <v>0</v>
      </c>
      <c r="H35" s="92" t="s">
        <v>106</v>
      </c>
      <c r="I35" s="85"/>
      <c r="J35" s="85"/>
      <c r="K35" s="85"/>
    </row>
    <row r="36" spans="1:11" x14ac:dyDescent="0.25">
      <c r="A36" s="96"/>
      <c r="B36" s="12"/>
      <c r="C36" s="13" t="s">
        <v>13</v>
      </c>
      <c r="D36" s="13"/>
      <c r="E36" s="102" t="s">
        <v>47</v>
      </c>
      <c r="F36" s="13">
        <v>10000</v>
      </c>
      <c r="G36" s="55">
        <v>0</v>
      </c>
      <c r="H36" s="97" t="s">
        <v>106</v>
      </c>
      <c r="I36" s="85"/>
      <c r="J36" s="85"/>
      <c r="K36" s="85"/>
    </row>
    <row r="37" spans="1:11" x14ac:dyDescent="0.25">
      <c r="A37" s="91">
        <v>17</v>
      </c>
      <c r="B37" s="9" t="s">
        <v>30</v>
      </c>
      <c r="C37" s="14" t="s">
        <v>12</v>
      </c>
      <c r="D37" s="14" t="s">
        <v>126</v>
      </c>
      <c r="E37" s="91" t="s">
        <v>45</v>
      </c>
      <c r="F37" s="14">
        <v>5600</v>
      </c>
      <c r="G37" s="79">
        <f>62648/744000</f>
        <v>8.4204301075268814E-2</v>
      </c>
      <c r="H37" s="92">
        <f t="shared" si="0"/>
        <v>5.5157956989247312</v>
      </c>
      <c r="I37" s="85"/>
      <c r="J37" s="85"/>
      <c r="K37" s="85"/>
    </row>
    <row r="38" spans="1:11" x14ac:dyDescent="0.25">
      <c r="A38" s="96"/>
      <c r="B38" s="12"/>
      <c r="C38" s="13" t="s">
        <v>13</v>
      </c>
      <c r="D38" s="13"/>
      <c r="E38" s="96" t="s">
        <v>45</v>
      </c>
      <c r="F38" s="13">
        <v>5600</v>
      </c>
      <c r="G38" s="55">
        <v>0</v>
      </c>
      <c r="H38" s="97" t="s">
        <v>106</v>
      </c>
      <c r="I38" s="85"/>
      <c r="J38" s="85"/>
      <c r="K38" s="85"/>
    </row>
    <row r="39" spans="1:11" x14ac:dyDescent="0.25">
      <c r="A39" s="100">
        <v>18</v>
      </c>
      <c r="B39" s="4" t="s">
        <v>31</v>
      </c>
      <c r="C39" s="15" t="s">
        <v>12</v>
      </c>
      <c r="D39" s="6" t="s">
        <v>126</v>
      </c>
      <c r="E39" s="100" t="s">
        <v>45</v>
      </c>
      <c r="F39" s="6">
        <v>560</v>
      </c>
      <c r="G39" s="73">
        <f>4517/744000</f>
        <v>6.0712365591397846E-3</v>
      </c>
      <c r="H39" s="101">
        <f t="shared" si="0"/>
        <v>0.55392876344086028</v>
      </c>
      <c r="I39" s="85"/>
      <c r="J39" s="85"/>
      <c r="K39" s="85"/>
    </row>
    <row r="40" spans="1:11" x14ac:dyDescent="0.25">
      <c r="A40" s="91">
        <v>19</v>
      </c>
      <c r="B40" s="9" t="s">
        <v>32</v>
      </c>
      <c r="C40" s="14" t="s">
        <v>12</v>
      </c>
      <c r="D40" s="14" t="s">
        <v>125</v>
      </c>
      <c r="E40" s="91" t="s">
        <v>45</v>
      </c>
      <c r="F40" s="14">
        <v>2500</v>
      </c>
      <c r="G40" s="79">
        <v>0</v>
      </c>
      <c r="H40" s="92" t="s">
        <v>106</v>
      </c>
      <c r="I40" s="85"/>
      <c r="J40" s="85"/>
      <c r="K40" s="85"/>
    </row>
    <row r="41" spans="1:11" x14ac:dyDescent="0.25">
      <c r="A41" s="96"/>
      <c r="B41" s="12"/>
      <c r="C41" s="13" t="s">
        <v>13</v>
      </c>
      <c r="D41" s="13" t="s">
        <v>125</v>
      </c>
      <c r="E41" s="96" t="s">
        <v>45</v>
      </c>
      <c r="F41" s="13">
        <v>2500</v>
      </c>
      <c r="G41" s="55">
        <f>2002/744000</f>
        <v>2.6908602150537636E-3</v>
      </c>
      <c r="H41" s="97">
        <f t="shared" si="0"/>
        <v>2.4973091397849463</v>
      </c>
      <c r="I41" s="85"/>
      <c r="J41" s="85"/>
      <c r="K41" s="85"/>
    </row>
    <row r="42" spans="1:11" x14ac:dyDescent="0.25">
      <c r="A42" s="100">
        <v>20</v>
      </c>
      <c r="B42" s="4" t="s">
        <v>33</v>
      </c>
      <c r="C42" s="15" t="s">
        <v>12</v>
      </c>
      <c r="D42" s="15" t="s">
        <v>110</v>
      </c>
      <c r="E42" s="100" t="s">
        <v>45</v>
      </c>
      <c r="F42" s="15">
        <v>1600</v>
      </c>
      <c r="G42" s="73">
        <f>10171/744000</f>
        <v>1.3670698924731182E-2</v>
      </c>
      <c r="H42" s="101">
        <f t="shared" si="0"/>
        <v>1.5863293010752688</v>
      </c>
      <c r="I42" s="85"/>
      <c r="J42" s="85"/>
      <c r="K42" s="85"/>
    </row>
    <row r="43" spans="1:11" x14ac:dyDescent="0.25">
      <c r="A43" s="100">
        <v>21</v>
      </c>
      <c r="B43" s="4" t="s">
        <v>34</v>
      </c>
      <c r="C43" s="15" t="s">
        <v>12</v>
      </c>
      <c r="D43" s="15" t="s">
        <v>120</v>
      </c>
      <c r="E43" s="100" t="s">
        <v>45</v>
      </c>
      <c r="F43" s="15">
        <v>6300</v>
      </c>
      <c r="G43" s="73">
        <f>141502/744000</f>
        <v>0.19019086021505377</v>
      </c>
      <c r="H43" s="101">
        <f t="shared" si="0"/>
        <v>6.1098091397849457</v>
      </c>
      <c r="I43" s="85"/>
      <c r="J43" s="85"/>
      <c r="K43" s="85"/>
    </row>
    <row r="44" spans="1:11" ht="31.5" x14ac:dyDescent="0.25">
      <c r="A44" s="91">
        <v>22</v>
      </c>
      <c r="B44" s="9" t="s">
        <v>35</v>
      </c>
      <c r="C44" s="14" t="s">
        <v>12</v>
      </c>
      <c r="D44" s="75" t="s">
        <v>121</v>
      </c>
      <c r="E44" s="91" t="s">
        <v>45</v>
      </c>
      <c r="F44" s="14">
        <v>4000</v>
      </c>
      <c r="G44" s="79">
        <f>280266/744000</f>
        <v>0.37670161290322579</v>
      </c>
      <c r="H44" s="92">
        <f t="shared" si="0"/>
        <v>3.6232983870967743</v>
      </c>
      <c r="I44" s="85"/>
      <c r="J44" s="85"/>
      <c r="K44" s="85"/>
    </row>
    <row r="45" spans="1:11" x14ac:dyDescent="0.25">
      <c r="A45" s="96"/>
      <c r="B45" s="12"/>
      <c r="C45" s="13" t="s">
        <v>13</v>
      </c>
      <c r="D45" s="13"/>
      <c r="E45" s="96" t="s">
        <v>45</v>
      </c>
      <c r="F45" s="13">
        <v>4000</v>
      </c>
      <c r="G45" s="55">
        <v>0</v>
      </c>
      <c r="H45" s="97" t="s">
        <v>106</v>
      </c>
      <c r="I45" s="85"/>
      <c r="J45" s="85"/>
      <c r="K45" s="85"/>
    </row>
    <row r="46" spans="1:11" x14ac:dyDescent="0.25">
      <c r="A46" s="91">
        <v>23</v>
      </c>
      <c r="B46" s="9" t="s">
        <v>36</v>
      </c>
      <c r="C46" s="14" t="s">
        <v>12</v>
      </c>
      <c r="D46" s="14" t="s">
        <v>122</v>
      </c>
      <c r="E46" s="91" t="s">
        <v>45</v>
      </c>
      <c r="F46" s="14">
        <v>4000</v>
      </c>
      <c r="G46" s="79">
        <f>198096/744000</f>
        <v>0.26625806451612904</v>
      </c>
      <c r="H46" s="55">
        <f>F46/1000-G46</f>
        <v>3.733741935483871</v>
      </c>
      <c r="I46" s="85"/>
      <c r="J46" s="85"/>
      <c r="K46" s="85"/>
    </row>
    <row r="47" spans="1:11" x14ac:dyDescent="0.25">
      <c r="A47" s="96"/>
      <c r="B47" s="12"/>
      <c r="C47" s="13" t="s">
        <v>13</v>
      </c>
      <c r="D47" s="13"/>
      <c r="E47" s="96" t="s">
        <v>45</v>
      </c>
      <c r="F47" s="13">
        <v>4000</v>
      </c>
      <c r="G47" s="55">
        <v>0</v>
      </c>
      <c r="H47" s="97" t="s">
        <v>106</v>
      </c>
      <c r="I47" s="85"/>
      <c r="J47" s="85"/>
      <c r="K47" s="85"/>
    </row>
    <row r="48" spans="1:11" x14ac:dyDescent="0.25">
      <c r="A48" s="100">
        <v>24</v>
      </c>
      <c r="B48" s="4" t="s">
        <v>37</v>
      </c>
      <c r="C48" s="15" t="s">
        <v>12</v>
      </c>
      <c r="D48" s="15" t="s">
        <v>123</v>
      </c>
      <c r="E48" s="100" t="s">
        <v>46</v>
      </c>
      <c r="F48" s="15"/>
      <c r="G48" s="73">
        <v>0</v>
      </c>
      <c r="H48" s="101" t="s">
        <v>107</v>
      </c>
      <c r="I48" s="85"/>
      <c r="J48" s="85"/>
      <c r="K48" s="85"/>
    </row>
    <row r="49" spans="1:11" x14ac:dyDescent="0.25">
      <c r="A49" s="100">
        <v>25</v>
      </c>
      <c r="B49" s="4" t="s">
        <v>38</v>
      </c>
      <c r="C49" s="15" t="s">
        <v>12</v>
      </c>
      <c r="D49" s="15" t="s">
        <v>124</v>
      </c>
      <c r="E49" s="100" t="s">
        <v>45</v>
      </c>
      <c r="F49" s="15">
        <v>1000</v>
      </c>
      <c r="G49" s="73">
        <f>77896/744000</f>
        <v>0.10469892473118279</v>
      </c>
      <c r="H49" s="101">
        <f t="shared" si="0"/>
        <v>0.89530107526881719</v>
      </c>
      <c r="I49" s="85"/>
      <c r="J49" s="85"/>
      <c r="K49" s="85"/>
    </row>
    <row r="50" spans="1:11" x14ac:dyDescent="0.25">
      <c r="A50" s="100">
        <v>26</v>
      </c>
      <c r="B50" s="4" t="s">
        <v>39</v>
      </c>
      <c r="C50" s="15" t="s">
        <v>12</v>
      </c>
      <c r="D50" s="15" t="s">
        <v>125</v>
      </c>
      <c r="E50" s="100" t="s">
        <v>41</v>
      </c>
      <c r="F50" s="15">
        <v>2500</v>
      </c>
      <c r="G50" s="73">
        <v>0</v>
      </c>
      <c r="H50" s="101" t="s">
        <v>106</v>
      </c>
      <c r="I50" s="85"/>
      <c r="J50" s="85"/>
      <c r="K50" s="85"/>
    </row>
    <row r="51" spans="1:11" x14ac:dyDescent="0.25">
      <c r="A51" s="86"/>
      <c r="B51" s="85"/>
      <c r="C51" s="85"/>
      <c r="D51" s="85"/>
      <c r="E51" s="86"/>
      <c r="F51" s="85"/>
      <c r="G51" s="87"/>
      <c r="H51" s="88"/>
      <c r="I51" s="85"/>
      <c r="J51" s="85"/>
      <c r="K51" s="85"/>
    </row>
    <row r="52" spans="1:11" x14ac:dyDescent="0.25">
      <c r="A52" s="116" t="s">
        <v>48</v>
      </c>
      <c r="B52" s="116"/>
      <c r="C52" s="116"/>
      <c r="D52" s="116"/>
      <c r="E52" s="116"/>
      <c r="F52" s="116"/>
      <c r="G52" s="116"/>
      <c r="H52" s="116"/>
      <c r="I52" s="85"/>
      <c r="J52" s="85"/>
      <c r="K52" s="85"/>
    </row>
    <row r="53" spans="1:11" x14ac:dyDescent="0.25">
      <c r="A53" s="86"/>
      <c r="B53" s="85"/>
      <c r="C53" s="85"/>
      <c r="D53" s="85"/>
      <c r="E53" s="86"/>
      <c r="F53" s="85"/>
      <c r="G53" s="87"/>
      <c r="H53" s="88"/>
      <c r="I53" s="85"/>
      <c r="J53" s="85"/>
      <c r="K53" s="85"/>
    </row>
    <row r="54" spans="1:11" ht="63" x14ac:dyDescent="0.25">
      <c r="A54" s="76" t="s">
        <v>4</v>
      </c>
      <c r="B54" s="76" t="s">
        <v>49</v>
      </c>
      <c r="C54" s="76" t="s">
        <v>50</v>
      </c>
      <c r="D54" s="76" t="s">
        <v>51</v>
      </c>
      <c r="E54" s="76" t="s">
        <v>8</v>
      </c>
      <c r="F54" s="76" t="s">
        <v>52</v>
      </c>
      <c r="G54" s="89" t="s">
        <v>129</v>
      </c>
      <c r="H54" s="89" t="s">
        <v>10</v>
      </c>
      <c r="I54" s="85"/>
      <c r="J54" s="85"/>
      <c r="K54" s="85"/>
    </row>
    <row r="55" spans="1:11" x14ac:dyDescent="0.25">
      <c r="A55" s="100"/>
      <c r="B55" s="80" t="s">
        <v>53</v>
      </c>
      <c r="C55" s="4"/>
      <c r="D55" s="15"/>
      <c r="E55" s="80"/>
      <c r="F55" s="15"/>
      <c r="G55" s="73"/>
      <c r="H55" s="101"/>
      <c r="I55" s="85"/>
      <c r="J55" s="85"/>
      <c r="K55" s="85"/>
    </row>
    <row r="56" spans="1:11" x14ac:dyDescent="0.25">
      <c r="A56" s="91">
        <v>1</v>
      </c>
      <c r="B56" s="9" t="s">
        <v>54</v>
      </c>
      <c r="C56" s="56">
        <v>3.3</v>
      </c>
      <c r="D56" s="64">
        <v>120</v>
      </c>
      <c r="E56" s="14">
        <v>110</v>
      </c>
      <c r="F56" s="103">
        <f>1.73*115*330/1000</f>
        <v>65.653499999999994</v>
      </c>
      <c r="G56" s="79">
        <f>2121812/744000</f>
        <v>2.8518978494623655</v>
      </c>
      <c r="H56" s="103">
        <f>F56-G56</f>
        <v>62.801602150537626</v>
      </c>
      <c r="I56" s="85"/>
      <c r="J56" s="85"/>
      <c r="K56" s="85"/>
    </row>
    <row r="57" spans="1:11" x14ac:dyDescent="0.25">
      <c r="A57" s="93">
        <v>2</v>
      </c>
      <c r="B57" s="10" t="s">
        <v>55</v>
      </c>
      <c r="C57" s="57">
        <v>217.4</v>
      </c>
      <c r="D57" s="65">
        <v>150</v>
      </c>
      <c r="E57" s="11">
        <v>110</v>
      </c>
      <c r="F57" s="104">
        <f>1.73*115*445/1000</f>
        <v>88.532749999999993</v>
      </c>
      <c r="G57" s="94">
        <f>2088291/744000</f>
        <v>2.8068427419354838</v>
      </c>
      <c r="H57" s="104">
        <f t="shared" ref="H57:H108" si="1">F57-G57</f>
        <v>85.72590725806451</v>
      </c>
      <c r="I57" s="85"/>
      <c r="J57" s="85"/>
      <c r="K57" s="85"/>
    </row>
    <row r="58" spans="1:11" x14ac:dyDescent="0.25">
      <c r="A58" s="93">
        <v>3</v>
      </c>
      <c r="B58" s="10" t="s">
        <v>56</v>
      </c>
      <c r="C58" s="57">
        <v>217.4</v>
      </c>
      <c r="D58" s="65">
        <v>150</v>
      </c>
      <c r="E58" s="11">
        <v>110</v>
      </c>
      <c r="F58" s="104">
        <f>1.73*115*445/1000</f>
        <v>88.532749999999993</v>
      </c>
      <c r="G58" s="94">
        <f>690226/744000</f>
        <v>0.92772311827956988</v>
      </c>
      <c r="H58" s="104">
        <f t="shared" si="1"/>
        <v>87.60502688172042</v>
      </c>
      <c r="I58" s="85"/>
      <c r="J58" s="85"/>
      <c r="K58" s="85"/>
    </row>
    <row r="59" spans="1:11" x14ac:dyDescent="0.25">
      <c r="A59" s="93">
        <v>4</v>
      </c>
      <c r="B59" s="10" t="s">
        <v>57</v>
      </c>
      <c r="C59" s="58">
        <v>17.3</v>
      </c>
      <c r="D59" s="65" t="s">
        <v>109</v>
      </c>
      <c r="E59" s="11">
        <v>110</v>
      </c>
      <c r="F59" s="104">
        <f>1.73*115*445/1000</f>
        <v>88.532749999999993</v>
      </c>
      <c r="G59" s="94">
        <f>4108665/744000</f>
        <v>5.5223991935483872</v>
      </c>
      <c r="H59" s="104">
        <f t="shared" si="1"/>
        <v>83.010350806451612</v>
      </c>
      <c r="I59" s="85"/>
      <c r="J59" s="85"/>
      <c r="K59" s="85"/>
    </row>
    <row r="60" spans="1:11" x14ac:dyDescent="0.25">
      <c r="A60" s="93">
        <v>5</v>
      </c>
      <c r="B60" s="10" t="s">
        <v>58</v>
      </c>
      <c r="C60" s="57">
        <v>17.3</v>
      </c>
      <c r="D60" s="65" t="s">
        <v>109</v>
      </c>
      <c r="E60" s="11">
        <v>110</v>
      </c>
      <c r="F60" s="104">
        <f>1.73*115*445/1000</f>
        <v>88.532749999999993</v>
      </c>
      <c r="G60" s="94">
        <f>2024198/744000</f>
        <v>2.7206962365591396</v>
      </c>
      <c r="H60" s="104">
        <f t="shared" si="1"/>
        <v>85.812053763440858</v>
      </c>
      <c r="I60" s="85"/>
      <c r="J60" s="85"/>
      <c r="K60" s="85"/>
    </row>
    <row r="61" spans="1:11" x14ac:dyDescent="0.25">
      <c r="A61" s="93">
        <v>6</v>
      </c>
      <c r="B61" s="10" t="s">
        <v>59</v>
      </c>
      <c r="C61" s="57">
        <v>47.1</v>
      </c>
      <c r="D61" s="65">
        <v>120</v>
      </c>
      <c r="E61" s="11">
        <v>110</v>
      </c>
      <c r="F61" s="104">
        <f>1.73*115*445/1000</f>
        <v>88.532749999999993</v>
      </c>
      <c r="G61" s="94">
        <f>776417/744000</f>
        <v>1.0435712365591399</v>
      </c>
      <c r="H61" s="104">
        <f t="shared" si="1"/>
        <v>87.489178763440847</v>
      </c>
      <c r="I61" s="85"/>
      <c r="J61" s="85"/>
      <c r="K61" s="85"/>
    </row>
    <row r="62" spans="1:11" x14ac:dyDescent="0.25">
      <c r="A62" s="93">
        <v>7</v>
      </c>
      <c r="B62" s="10" t="s">
        <v>60</v>
      </c>
      <c r="C62" s="57">
        <v>36.9</v>
      </c>
      <c r="D62" s="65">
        <v>120</v>
      </c>
      <c r="E62" s="11">
        <v>110</v>
      </c>
      <c r="F62" s="104">
        <f>1.73*115*380/1000</f>
        <v>75.600999999999999</v>
      </c>
      <c r="G62" s="94">
        <v>0</v>
      </c>
      <c r="H62" s="107" t="s">
        <v>106</v>
      </c>
      <c r="I62" s="85"/>
      <c r="J62" s="85"/>
      <c r="K62" s="85"/>
    </row>
    <row r="63" spans="1:11" x14ac:dyDescent="0.25">
      <c r="A63" s="93">
        <v>8</v>
      </c>
      <c r="B63" s="10" t="s">
        <v>61</v>
      </c>
      <c r="C63" s="58">
        <v>39.32</v>
      </c>
      <c r="D63" s="65">
        <v>185</v>
      </c>
      <c r="E63" s="11">
        <v>110</v>
      </c>
      <c r="F63" s="104">
        <f>1.73*115*510/1000</f>
        <v>101.4645</v>
      </c>
      <c r="G63" s="94">
        <f>5061514/744000</f>
        <v>6.8031102150537635</v>
      </c>
      <c r="H63" s="104">
        <f t="shared" si="1"/>
        <v>94.661389784946238</v>
      </c>
      <c r="I63" s="85"/>
      <c r="J63" s="85"/>
      <c r="K63" s="85"/>
    </row>
    <row r="64" spans="1:11" x14ac:dyDescent="0.25">
      <c r="A64" s="93">
        <v>9</v>
      </c>
      <c r="B64" s="10" t="s">
        <v>105</v>
      </c>
      <c r="C64" s="57">
        <v>172.4</v>
      </c>
      <c r="D64" s="65">
        <v>185</v>
      </c>
      <c r="E64" s="11">
        <v>110</v>
      </c>
      <c r="F64" s="104">
        <f>1.73*115*510/1000</f>
        <v>101.4645</v>
      </c>
      <c r="G64" s="94">
        <f>4293046/744000</f>
        <v>5.7702231182795698</v>
      </c>
      <c r="H64" s="104">
        <f t="shared" si="1"/>
        <v>95.694276881720427</v>
      </c>
      <c r="I64" s="85"/>
      <c r="J64" s="85"/>
      <c r="K64" s="85"/>
    </row>
    <row r="65" spans="1:11" x14ac:dyDescent="0.25">
      <c r="A65" s="93">
        <v>10</v>
      </c>
      <c r="B65" s="10" t="s">
        <v>62</v>
      </c>
      <c r="C65" s="57">
        <v>3.35</v>
      </c>
      <c r="D65" s="65">
        <v>120</v>
      </c>
      <c r="E65" s="11">
        <v>110</v>
      </c>
      <c r="F65" s="104">
        <f>1.73*115*380/1000</f>
        <v>75.600999999999999</v>
      </c>
      <c r="G65" s="94">
        <f>5259936/744000</f>
        <v>7.0698064516129033</v>
      </c>
      <c r="H65" s="104">
        <f>F65-G65</f>
        <v>68.531193548387094</v>
      </c>
      <c r="I65" s="85"/>
      <c r="J65" s="85"/>
      <c r="K65" s="85"/>
    </row>
    <row r="66" spans="1:11" x14ac:dyDescent="0.25">
      <c r="A66" s="96">
        <v>11</v>
      </c>
      <c r="B66" s="12" t="s">
        <v>63</v>
      </c>
      <c r="C66" s="59">
        <v>19</v>
      </c>
      <c r="D66" s="66">
        <v>35</v>
      </c>
      <c r="E66" s="13">
        <v>35</v>
      </c>
      <c r="F66" s="105">
        <f>1.73*37*175/1000</f>
        <v>11.201750000000001</v>
      </c>
      <c r="G66" s="55">
        <f>229145/744000</f>
        <v>0.30799059139784946</v>
      </c>
      <c r="H66" s="105">
        <f t="shared" si="1"/>
        <v>10.893759408602151</v>
      </c>
      <c r="I66" s="85"/>
      <c r="J66" s="85"/>
      <c r="K66" s="85"/>
    </row>
    <row r="67" spans="1:11" x14ac:dyDescent="0.25">
      <c r="A67" s="100"/>
      <c r="B67" s="80" t="s">
        <v>64</v>
      </c>
      <c r="C67" s="60"/>
      <c r="D67" s="67"/>
      <c r="E67" s="80"/>
      <c r="F67" s="106"/>
      <c r="G67" s="73"/>
      <c r="H67" s="106"/>
      <c r="I67" s="85"/>
      <c r="J67" s="85"/>
      <c r="K67" s="85"/>
    </row>
    <row r="68" spans="1:11" x14ac:dyDescent="0.25">
      <c r="A68" s="91">
        <v>12</v>
      </c>
      <c r="B68" s="9" t="s">
        <v>65</v>
      </c>
      <c r="C68" s="61">
        <v>89.5</v>
      </c>
      <c r="D68" s="64">
        <v>120</v>
      </c>
      <c r="E68" s="14">
        <v>110</v>
      </c>
      <c r="F68" s="103">
        <f>1.73*115*380/1000</f>
        <v>75.600999999999999</v>
      </c>
      <c r="G68" s="79">
        <f>184048/744000</f>
        <v>0.24737634408602149</v>
      </c>
      <c r="H68" s="107">
        <f t="shared" si="1"/>
        <v>75.353623655913978</v>
      </c>
      <c r="I68" s="85"/>
      <c r="J68" s="85"/>
      <c r="K68" s="85"/>
    </row>
    <row r="69" spans="1:11" x14ac:dyDescent="0.25">
      <c r="A69" s="93">
        <v>13</v>
      </c>
      <c r="B69" s="10" t="s">
        <v>66</v>
      </c>
      <c r="C69" s="57">
        <v>118.61</v>
      </c>
      <c r="D69" s="65">
        <v>120</v>
      </c>
      <c r="E69" s="11">
        <v>110</v>
      </c>
      <c r="F69" s="104">
        <f>1.73*115*380/1000</f>
        <v>75.600999999999999</v>
      </c>
      <c r="G69" s="94">
        <f>2731/744000</f>
        <v>3.6706989247311827E-3</v>
      </c>
      <c r="H69" s="107">
        <f>F69-G69</f>
        <v>75.597329301075263</v>
      </c>
      <c r="I69" s="85"/>
      <c r="J69" s="85"/>
      <c r="K69" s="85"/>
    </row>
    <row r="70" spans="1:11" x14ac:dyDescent="0.25">
      <c r="A70" s="96">
        <v>14</v>
      </c>
      <c r="B70" s="12" t="s">
        <v>67</v>
      </c>
      <c r="C70" s="59">
        <v>90.5</v>
      </c>
      <c r="D70" s="66">
        <v>120</v>
      </c>
      <c r="E70" s="13">
        <v>110</v>
      </c>
      <c r="F70" s="105">
        <f>1.73*115*380/1000</f>
        <v>75.600999999999999</v>
      </c>
      <c r="G70" s="55">
        <f>554232/744000</f>
        <v>0.74493548387096775</v>
      </c>
      <c r="H70" s="105">
        <f t="shared" si="1"/>
        <v>74.856064516129038</v>
      </c>
      <c r="I70" s="85"/>
      <c r="J70" s="85"/>
      <c r="K70" s="85"/>
    </row>
    <row r="71" spans="1:11" x14ac:dyDescent="0.25">
      <c r="A71" s="100"/>
      <c r="B71" s="80" t="s">
        <v>68</v>
      </c>
      <c r="C71" s="62"/>
      <c r="D71" s="67"/>
      <c r="E71" s="80"/>
      <c r="F71" s="106"/>
      <c r="G71" s="73"/>
      <c r="H71" s="106"/>
      <c r="I71" s="85"/>
      <c r="J71" s="85"/>
      <c r="K71" s="85"/>
    </row>
    <row r="72" spans="1:11" x14ac:dyDescent="0.25">
      <c r="A72" s="91">
        <v>15</v>
      </c>
      <c r="B72" s="9" t="s">
        <v>69</v>
      </c>
      <c r="C72" s="56">
        <v>51</v>
      </c>
      <c r="D72" s="64">
        <v>185</v>
      </c>
      <c r="E72" s="14">
        <v>110</v>
      </c>
      <c r="F72" s="103">
        <f>1.73*115*510/1000</f>
        <v>101.4645</v>
      </c>
      <c r="G72" s="79">
        <f>3612332/744000</f>
        <v>4.8552849462365595</v>
      </c>
      <c r="H72" s="103">
        <f t="shared" si="1"/>
        <v>96.609215053763435</v>
      </c>
      <c r="I72" s="85"/>
      <c r="J72" s="85"/>
      <c r="K72" s="85"/>
    </row>
    <row r="73" spans="1:11" x14ac:dyDescent="0.25">
      <c r="A73" s="96">
        <v>16</v>
      </c>
      <c r="B73" s="12" t="s">
        <v>70</v>
      </c>
      <c r="C73" s="63">
        <v>2.2599999999999998</v>
      </c>
      <c r="D73" s="66">
        <v>70</v>
      </c>
      <c r="E73" s="13">
        <v>35</v>
      </c>
      <c r="F73" s="105">
        <f>1.73*37*265/1000</f>
        <v>16.96265</v>
      </c>
      <c r="G73" s="55">
        <f>1024260/744000</f>
        <v>1.3766935483870968</v>
      </c>
      <c r="H73" s="105">
        <f t="shared" si="1"/>
        <v>15.585956451612903</v>
      </c>
      <c r="I73" s="85"/>
      <c r="J73" s="85"/>
      <c r="K73" s="85"/>
    </row>
    <row r="74" spans="1:11" x14ac:dyDescent="0.25">
      <c r="A74" s="100"/>
      <c r="B74" s="80" t="s">
        <v>71</v>
      </c>
      <c r="C74" s="60"/>
      <c r="D74" s="67"/>
      <c r="E74" s="80"/>
      <c r="F74" s="106"/>
      <c r="G74" s="73"/>
      <c r="H74" s="106"/>
      <c r="I74" s="85"/>
      <c r="J74" s="85"/>
      <c r="K74" s="85"/>
    </row>
    <row r="75" spans="1:11" x14ac:dyDescent="0.25">
      <c r="A75" s="91">
        <v>17</v>
      </c>
      <c r="B75" s="9" t="s">
        <v>72</v>
      </c>
      <c r="C75" s="56">
        <v>30</v>
      </c>
      <c r="D75" s="64">
        <v>95</v>
      </c>
      <c r="E75" s="14">
        <v>35</v>
      </c>
      <c r="F75" s="103">
        <f>1.73*37*330/1000</f>
        <v>21.123300000000004</v>
      </c>
      <c r="G75" s="79">
        <f>24837/744000</f>
        <v>3.3383064516129032E-2</v>
      </c>
      <c r="H75" s="103">
        <f t="shared" si="1"/>
        <v>21.089916935483874</v>
      </c>
      <c r="I75" s="85"/>
      <c r="J75" s="85"/>
      <c r="K75" s="85"/>
    </row>
    <row r="76" spans="1:11" x14ac:dyDescent="0.25">
      <c r="A76" s="93">
        <v>18</v>
      </c>
      <c r="B76" s="10" t="s">
        <v>73</v>
      </c>
      <c r="C76" s="57">
        <v>53.3</v>
      </c>
      <c r="D76" s="65">
        <v>70</v>
      </c>
      <c r="E76" s="11">
        <v>35</v>
      </c>
      <c r="F76" s="104">
        <f>1.73*37*265/1000</f>
        <v>16.96265</v>
      </c>
      <c r="G76" s="94">
        <f>947495/744000</f>
        <v>1.2735147849462365</v>
      </c>
      <c r="H76" s="104">
        <f t="shared" si="1"/>
        <v>15.689135215053764</v>
      </c>
      <c r="I76" s="85"/>
      <c r="J76" s="85"/>
      <c r="K76" s="85"/>
    </row>
    <row r="77" spans="1:11" x14ac:dyDescent="0.25">
      <c r="A77" s="93">
        <v>19</v>
      </c>
      <c r="B77" s="10" t="s">
        <v>74</v>
      </c>
      <c r="C77" s="58">
        <v>30.9</v>
      </c>
      <c r="D77" s="65">
        <v>70</v>
      </c>
      <c r="E77" s="11">
        <v>35</v>
      </c>
      <c r="F77" s="104">
        <f>1.73*37*265/1000</f>
        <v>16.96265</v>
      </c>
      <c r="G77" s="94">
        <f>269232/744000</f>
        <v>0.3618709677419355</v>
      </c>
      <c r="H77" s="104">
        <f t="shared" si="1"/>
        <v>16.600779032258064</v>
      </c>
      <c r="I77" s="85"/>
      <c r="J77" s="85"/>
      <c r="K77" s="85"/>
    </row>
    <row r="78" spans="1:11" x14ac:dyDescent="0.25">
      <c r="A78" s="93">
        <v>20</v>
      </c>
      <c r="B78" s="10" t="s">
        <v>75</v>
      </c>
      <c r="C78" s="57">
        <v>33.14</v>
      </c>
      <c r="D78" s="65">
        <v>70</v>
      </c>
      <c r="E78" s="11">
        <v>35</v>
      </c>
      <c r="F78" s="104">
        <f>1.73*37*265/1000</f>
        <v>16.96265</v>
      </c>
      <c r="G78" s="94">
        <v>0</v>
      </c>
      <c r="H78" s="107" t="s">
        <v>106</v>
      </c>
      <c r="I78" s="85"/>
      <c r="J78" s="85"/>
      <c r="K78" s="85"/>
    </row>
    <row r="79" spans="1:11" x14ac:dyDescent="0.25">
      <c r="A79" s="96">
        <v>21</v>
      </c>
      <c r="B79" s="12" t="s">
        <v>76</v>
      </c>
      <c r="C79" s="63">
        <v>44.5</v>
      </c>
      <c r="D79" s="66">
        <v>95</v>
      </c>
      <c r="E79" s="13">
        <v>35</v>
      </c>
      <c r="F79" s="105">
        <f>1.73*37*330/1000</f>
        <v>21.123300000000004</v>
      </c>
      <c r="G79" s="55">
        <f>48346/744000</f>
        <v>6.4981182795698922E-2</v>
      </c>
      <c r="H79" s="105">
        <f t="shared" si="1"/>
        <v>21.058318817204306</v>
      </c>
      <c r="I79" s="85"/>
      <c r="J79" s="85"/>
      <c r="K79" s="85"/>
    </row>
    <row r="80" spans="1:11" x14ac:dyDescent="0.25">
      <c r="A80" s="100"/>
      <c r="B80" s="80" t="s">
        <v>77</v>
      </c>
      <c r="C80" s="62"/>
      <c r="D80" s="67"/>
      <c r="E80" s="80"/>
      <c r="F80" s="106"/>
      <c r="G80" s="73"/>
      <c r="H80" s="106"/>
      <c r="I80" s="85"/>
      <c r="J80" s="85"/>
      <c r="K80" s="85"/>
    </row>
    <row r="81" spans="1:11" x14ac:dyDescent="0.25">
      <c r="A81" s="100">
        <v>22</v>
      </c>
      <c r="B81" s="4" t="s">
        <v>78</v>
      </c>
      <c r="C81" s="60">
        <v>15.4</v>
      </c>
      <c r="D81" s="67">
        <v>95</v>
      </c>
      <c r="E81" s="15">
        <v>35</v>
      </c>
      <c r="F81" s="108">
        <f>1.73*37*330/1000</f>
        <v>21.123300000000004</v>
      </c>
      <c r="G81" s="73">
        <v>0</v>
      </c>
      <c r="H81" s="109" t="s">
        <v>106</v>
      </c>
      <c r="I81" s="85"/>
      <c r="J81" s="85"/>
      <c r="K81" s="85"/>
    </row>
    <row r="82" spans="1:11" x14ac:dyDescent="0.25">
      <c r="A82" s="100"/>
      <c r="B82" s="80" t="s">
        <v>79</v>
      </c>
      <c r="C82" s="62"/>
      <c r="D82" s="67"/>
      <c r="E82" s="80"/>
      <c r="F82" s="106"/>
      <c r="G82" s="73"/>
      <c r="H82" s="106"/>
      <c r="I82" s="85"/>
      <c r="J82" s="85"/>
      <c r="K82" s="85"/>
    </row>
    <row r="83" spans="1:11" x14ac:dyDescent="0.25">
      <c r="A83" s="100">
        <v>23</v>
      </c>
      <c r="B83" s="4" t="s">
        <v>80</v>
      </c>
      <c r="C83" s="60">
        <v>4</v>
      </c>
      <c r="D83" s="67">
        <v>95</v>
      </c>
      <c r="E83" s="15">
        <v>110</v>
      </c>
      <c r="F83" s="108">
        <f>1.73*115*330/1000</f>
        <v>65.653499999999994</v>
      </c>
      <c r="G83" s="73">
        <v>0</v>
      </c>
      <c r="H83" s="109" t="s">
        <v>106</v>
      </c>
      <c r="I83" s="85"/>
      <c r="J83" s="85"/>
      <c r="K83" s="85"/>
    </row>
    <row r="84" spans="1:11" x14ac:dyDescent="0.25">
      <c r="A84" s="100"/>
      <c r="B84" s="80" t="s">
        <v>81</v>
      </c>
      <c r="C84" s="62"/>
      <c r="D84" s="67"/>
      <c r="E84" s="80"/>
      <c r="F84" s="106"/>
      <c r="G84" s="73"/>
      <c r="H84" s="106"/>
      <c r="I84" s="85"/>
      <c r="J84" s="85"/>
      <c r="K84" s="85"/>
    </row>
    <row r="85" spans="1:11" x14ac:dyDescent="0.25">
      <c r="A85" s="91">
        <v>24</v>
      </c>
      <c r="B85" s="9" t="s">
        <v>66</v>
      </c>
      <c r="C85" s="56">
        <v>118.61</v>
      </c>
      <c r="D85" s="64">
        <v>120</v>
      </c>
      <c r="E85" s="14">
        <v>110</v>
      </c>
      <c r="F85" s="103">
        <f>1.73*115*380/1000</f>
        <v>75.600999999999999</v>
      </c>
      <c r="G85" s="79">
        <f>459360/744000</f>
        <v>0.61741935483870969</v>
      </c>
      <c r="H85" s="103">
        <f t="shared" si="1"/>
        <v>74.983580645161283</v>
      </c>
      <c r="I85" s="85"/>
      <c r="J85" s="85"/>
      <c r="K85" s="85"/>
    </row>
    <row r="86" spans="1:11" x14ac:dyDescent="0.25">
      <c r="A86" s="93">
        <v>25</v>
      </c>
      <c r="B86" s="10" t="s">
        <v>82</v>
      </c>
      <c r="C86" s="57">
        <v>48.3</v>
      </c>
      <c r="D86" s="65">
        <v>185</v>
      </c>
      <c r="E86" s="11">
        <v>110</v>
      </c>
      <c r="F86" s="104">
        <f>1.73*115*510/1000</f>
        <v>101.4645</v>
      </c>
      <c r="G86" s="94">
        <f>2708640/744000</f>
        <v>3.6406451612903226</v>
      </c>
      <c r="H86" s="104">
        <f t="shared" si="1"/>
        <v>97.823854838709678</v>
      </c>
      <c r="I86" s="85"/>
      <c r="J86" s="85"/>
      <c r="K86" s="85"/>
    </row>
    <row r="87" spans="1:11" x14ac:dyDescent="0.25">
      <c r="A87" s="96">
        <v>26</v>
      </c>
      <c r="B87" s="12" t="s">
        <v>83</v>
      </c>
      <c r="C87" s="63">
        <v>30.5</v>
      </c>
      <c r="D87" s="66">
        <v>50</v>
      </c>
      <c r="E87" s="13">
        <v>35</v>
      </c>
      <c r="F87" s="105">
        <f>1.73*37*210/1000</f>
        <v>13.4421</v>
      </c>
      <c r="G87" s="55">
        <f>985845/744000</f>
        <v>1.3250604838709676</v>
      </c>
      <c r="H87" s="105">
        <f t="shared" si="1"/>
        <v>12.117039516129033</v>
      </c>
      <c r="I87" s="85"/>
      <c r="J87" s="85"/>
      <c r="K87" s="85"/>
    </row>
    <row r="88" spans="1:11" x14ac:dyDescent="0.25">
      <c r="A88" s="100"/>
      <c r="B88" s="80" t="s">
        <v>84</v>
      </c>
      <c r="C88" s="60"/>
      <c r="D88" s="67"/>
      <c r="E88" s="80"/>
      <c r="F88" s="106"/>
      <c r="G88" s="73"/>
      <c r="H88" s="106"/>
      <c r="I88" s="85"/>
      <c r="J88" s="85"/>
      <c r="K88" s="85"/>
    </row>
    <row r="89" spans="1:11" x14ac:dyDescent="0.25">
      <c r="A89" s="91">
        <v>27</v>
      </c>
      <c r="B89" s="9" t="s">
        <v>85</v>
      </c>
      <c r="C89" s="56">
        <v>38.4</v>
      </c>
      <c r="D89" s="64">
        <v>120</v>
      </c>
      <c r="E89" s="14">
        <v>110</v>
      </c>
      <c r="F89" s="103">
        <f>1.73*115*380/1000</f>
        <v>75.600999999999999</v>
      </c>
      <c r="G89" s="79">
        <f>3943984/744000</f>
        <v>5.3010537634408603</v>
      </c>
      <c r="H89" s="103">
        <f t="shared" si="1"/>
        <v>70.299946236559137</v>
      </c>
      <c r="I89" s="85"/>
      <c r="J89" s="85"/>
      <c r="K89" s="85"/>
    </row>
    <row r="90" spans="1:11" x14ac:dyDescent="0.25">
      <c r="A90" s="96">
        <v>28</v>
      </c>
      <c r="B90" s="12" t="s">
        <v>86</v>
      </c>
      <c r="C90" s="59">
        <v>1.6</v>
      </c>
      <c r="D90" s="66">
        <v>70</v>
      </c>
      <c r="E90" s="13">
        <v>35</v>
      </c>
      <c r="F90" s="105">
        <f>1.73*37*265/1000</f>
        <v>16.96265</v>
      </c>
      <c r="G90" s="55">
        <f>103912/744000</f>
        <v>0.13966666666666666</v>
      </c>
      <c r="H90" s="110" t="s">
        <v>106</v>
      </c>
      <c r="I90" s="85"/>
      <c r="J90" s="85"/>
      <c r="K90" s="85"/>
    </row>
    <row r="91" spans="1:11" x14ac:dyDescent="0.25">
      <c r="A91" s="100"/>
      <c r="B91" s="80" t="s">
        <v>87</v>
      </c>
      <c r="C91" s="62"/>
      <c r="D91" s="67"/>
      <c r="E91" s="80"/>
      <c r="F91" s="106"/>
      <c r="G91" s="73"/>
      <c r="H91" s="106"/>
      <c r="I91" s="85"/>
      <c r="J91" s="85"/>
      <c r="K91" s="85"/>
    </row>
    <row r="92" spans="1:11" x14ac:dyDescent="0.25">
      <c r="A92" s="100">
        <v>29</v>
      </c>
      <c r="B92" s="4" t="s">
        <v>88</v>
      </c>
      <c r="C92" s="60">
        <v>45.2</v>
      </c>
      <c r="D92" s="67">
        <v>70</v>
      </c>
      <c r="E92" s="15">
        <v>35</v>
      </c>
      <c r="F92" s="108">
        <f>1.73*37*265/1000</f>
        <v>16.96265</v>
      </c>
      <c r="G92" s="73">
        <f>94667/744000</f>
        <v>0.12724059139784946</v>
      </c>
      <c r="H92" s="108">
        <f t="shared" si="1"/>
        <v>16.83540940860215</v>
      </c>
      <c r="I92" s="85"/>
      <c r="J92" s="85"/>
      <c r="K92" s="85"/>
    </row>
    <row r="93" spans="1:11" x14ac:dyDescent="0.25">
      <c r="A93" s="100"/>
      <c r="B93" s="80" t="s">
        <v>89</v>
      </c>
      <c r="C93" s="62"/>
      <c r="D93" s="67"/>
      <c r="E93" s="80"/>
      <c r="F93" s="106"/>
      <c r="G93" s="73"/>
      <c r="H93" s="106"/>
      <c r="I93" s="85"/>
      <c r="J93" s="85"/>
      <c r="K93" s="85"/>
    </row>
    <row r="94" spans="1:11" x14ac:dyDescent="0.25">
      <c r="A94" s="100">
        <v>30</v>
      </c>
      <c r="B94" s="4" t="s">
        <v>90</v>
      </c>
      <c r="C94" s="60">
        <v>65</v>
      </c>
      <c r="D94" s="67" t="s">
        <v>108</v>
      </c>
      <c r="E94" s="15">
        <v>35</v>
      </c>
      <c r="F94" s="108">
        <f>1.73*37*265/1000</f>
        <v>16.96265</v>
      </c>
      <c r="G94" s="73">
        <f>607131/744000</f>
        <v>0.81603629032258063</v>
      </c>
      <c r="H94" s="108">
        <f t="shared" si="1"/>
        <v>16.146613709677418</v>
      </c>
      <c r="I94" s="85"/>
      <c r="J94" s="85"/>
      <c r="K94" s="85"/>
    </row>
    <row r="95" spans="1:11" x14ac:dyDescent="0.25">
      <c r="A95" s="100"/>
      <c r="B95" s="80" t="s">
        <v>91</v>
      </c>
      <c r="C95" s="60"/>
      <c r="D95" s="67"/>
      <c r="E95" s="80"/>
      <c r="F95" s="106"/>
      <c r="G95" s="73"/>
      <c r="H95" s="106"/>
      <c r="I95" s="85"/>
      <c r="J95" s="85"/>
      <c r="K95" s="85"/>
    </row>
    <row r="96" spans="1:11" x14ac:dyDescent="0.25">
      <c r="A96" s="91">
        <v>31</v>
      </c>
      <c r="B96" s="9" t="s">
        <v>92</v>
      </c>
      <c r="C96" s="56">
        <v>71.2</v>
      </c>
      <c r="D96" s="64">
        <v>70</v>
      </c>
      <c r="E96" s="14">
        <v>35</v>
      </c>
      <c r="F96" s="103">
        <f>1.73*37*265/1000</f>
        <v>16.96265</v>
      </c>
      <c r="G96" s="79">
        <f>3795/744000</f>
        <v>5.1008064516129036E-3</v>
      </c>
      <c r="H96" s="103">
        <f t="shared" si="1"/>
        <v>16.957549193548388</v>
      </c>
      <c r="I96" s="85"/>
      <c r="J96" s="85"/>
      <c r="K96" s="85"/>
    </row>
    <row r="97" spans="1:11" x14ac:dyDescent="0.25">
      <c r="A97" s="96">
        <v>32</v>
      </c>
      <c r="B97" s="12" t="s">
        <v>93</v>
      </c>
      <c r="C97" s="81">
        <v>38.6</v>
      </c>
      <c r="D97" s="111">
        <v>95</v>
      </c>
      <c r="E97" s="13">
        <v>35</v>
      </c>
      <c r="F97" s="105">
        <f>1.73*37*330/1000</f>
        <v>21.123300000000004</v>
      </c>
      <c r="G97" s="55">
        <f>10171/744000</f>
        <v>1.3670698924731182E-2</v>
      </c>
      <c r="H97" s="105">
        <f t="shared" si="1"/>
        <v>21.109629301075273</v>
      </c>
      <c r="I97" s="85"/>
      <c r="J97" s="85"/>
      <c r="K97" s="85"/>
    </row>
    <row r="98" spans="1:11" x14ac:dyDescent="0.25">
      <c r="A98" s="100"/>
      <c r="B98" s="80" t="s">
        <v>94</v>
      </c>
      <c r="C98" s="82"/>
      <c r="D98" s="112"/>
      <c r="E98" s="80"/>
      <c r="F98" s="106"/>
      <c r="G98" s="73"/>
      <c r="H98" s="106"/>
      <c r="I98" s="85"/>
      <c r="J98" s="85"/>
      <c r="K98" s="85"/>
    </row>
    <row r="99" spans="1:11" x14ac:dyDescent="0.25">
      <c r="A99" s="100">
        <v>33</v>
      </c>
      <c r="B99" s="4" t="s">
        <v>95</v>
      </c>
      <c r="C99" s="82">
        <v>17.7</v>
      </c>
      <c r="D99" s="112">
        <v>70</v>
      </c>
      <c r="E99" s="15">
        <v>35</v>
      </c>
      <c r="F99" s="108">
        <f>1.73*37*265/1000</f>
        <v>16.96265</v>
      </c>
      <c r="G99" s="73">
        <f>4517/744000</f>
        <v>6.0712365591397846E-3</v>
      </c>
      <c r="H99" s="108">
        <f t="shared" si="1"/>
        <v>16.956578763440859</v>
      </c>
      <c r="I99" s="85"/>
      <c r="J99" s="85"/>
      <c r="K99" s="85"/>
    </row>
    <row r="100" spans="1:11" x14ac:dyDescent="0.25">
      <c r="A100" s="100"/>
      <c r="B100" s="80" t="s">
        <v>96</v>
      </c>
      <c r="C100" s="82"/>
      <c r="D100" s="112"/>
      <c r="E100" s="80"/>
      <c r="F100" s="106"/>
      <c r="G100" s="73"/>
      <c r="H100" s="106"/>
      <c r="I100" s="85"/>
      <c r="J100" s="85"/>
      <c r="K100" s="85"/>
    </row>
    <row r="101" spans="1:11" x14ac:dyDescent="0.25">
      <c r="A101" s="100">
        <v>34</v>
      </c>
      <c r="B101" s="4" t="s">
        <v>97</v>
      </c>
      <c r="C101" s="82">
        <v>19.5</v>
      </c>
      <c r="D101" s="112">
        <v>95</v>
      </c>
      <c r="E101" s="15">
        <v>35</v>
      </c>
      <c r="F101" s="108">
        <f>1.73*37*330/1000</f>
        <v>21.123300000000004</v>
      </c>
      <c r="G101" s="73">
        <f>370601/744000</f>
        <v>0.498119623655914</v>
      </c>
      <c r="H101" s="108">
        <f t="shared" si="1"/>
        <v>20.62518037634409</v>
      </c>
      <c r="I101" s="85"/>
      <c r="J101" s="85"/>
      <c r="K101" s="85"/>
    </row>
    <row r="102" spans="1:11" x14ac:dyDescent="0.25">
      <c r="A102" s="100"/>
      <c r="B102" s="80" t="s">
        <v>98</v>
      </c>
      <c r="C102" s="82"/>
      <c r="D102" s="112"/>
      <c r="E102" s="80"/>
      <c r="F102" s="106"/>
      <c r="G102" s="73"/>
      <c r="H102" s="106"/>
      <c r="I102" s="85"/>
      <c r="J102" s="85"/>
      <c r="K102" s="85"/>
    </row>
    <row r="103" spans="1:11" x14ac:dyDescent="0.25">
      <c r="A103" s="91">
        <v>35</v>
      </c>
      <c r="B103" s="9" t="s">
        <v>99</v>
      </c>
      <c r="C103" s="83">
        <v>28.96</v>
      </c>
      <c r="D103" s="113">
        <v>70</v>
      </c>
      <c r="E103" s="14">
        <v>35</v>
      </c>
      <c r="F103" s="103">
        <f>1.73*37*265/1000</f>
        <v>16.96265</v>
      </c>
      <c r="G103" s="79">
        <f>28042/744000</f>
        <v>3.7690860215053766E-2</v>
      </c>
      <c r="H103" s="103">
        <f t="shared" si="1"/>
        <v>16.924959139784946</v>
      </c>
      <c r="I103" s="85"/>
      <c r="J103" s="85"/>
      <c r="K103" s="85"/>
    </row>
    <row r="104" spans="1:11" x14ac:dyDescent="0.25">
      <c r="A104" s="93">
        <v>36</v>
      </c>
      <c r="B104" s="10" t="s">
        <v>100</v>
      </c>
      <c r="C104" s="84">
        <v>15</v>
      </c>
      <c r="D104" s="114">
        <v>70</v>
      </c>
      <c r="E104" s="11">
        <v>35</v>
      </c>
      <c r="F104" s="104">
        <f>1.73*37*265/1000</f>
        <v>16.96265</v>
      </c>
      <c r="G104" s="94">
        <f>76678/744000</f>
        <v>0.10306182795698925</v>
      </c>
      <c r="H104" s="104">
        <f t="shared" si="1"/>
        <v>16.859588172043011</v>
      </c>
      <c r="I104" s="85"/>
      <c r="J104" s="85"/>
      <c r="K104" s="85"/>
    </row>
    <row r="105" spans="1:11" x14ac:dyDescent="0.25">
      <c r="A105" s="96">
        <v>37</v>
      </c>
      <c r="B105" s="12" t="s">
        <v>101</v>
      </c>
      <c r="C105" s="81">
        <v>35.26</v>
      </c>
      <c r="D105" s="111">
        <v>70</v>
      </c>
      <c r="E105" s="13">
        <v>35</v>
      </c>
      <c r="F105" s="105">
        <f>1.73*37*265/1000</f>
        <v>16.96265</v>
      </c>
      <c r="G105" s="55">
        <f>11487/744000</f>
        <v>1.5439516129032257E-2</v>
      </c>
      <c r="H105" s="105">
        <f t="shared" si="1"/>
        <v>16.947210483870968</v>
      </c>
      <c r="I105" s="85"/>
      <c r="J105" s="85"/>
      <c r="K105" s="85"/>
    </row>
    <row r="106" spans="1:11" x14ac:dyDescent="0.25">
      <c r="A106" s="100"/>
      <c r="B106" s="80" t="s">
        <v>102</v>
      </c>
      <c r="C106" s="82"/>
      <c r="D106" s="112"/>
      <c r="E106" s="80"/>
      <c r="F106" s="106"/>
      <c r="G106" s="73"/>
      <c r="H106" s="106"/>
      <c r="I106" s="85"/>
      <c r="J106" s="85"/>
      <c r="K106" s="85"/>
    </row>
    <row r="107" spans="1:11" x14ac:dyDescent="0.25">
      <c r="A107" s="91">
        <v>38</v>
      </c>
      <c r="B107" s="9" t="s">
        <v>103</v>
      </c>
      <c r="C107" s="83">
        <v>40.75</v>
      </c>
      <c r="D107" s="113">
        <v>70</v>
      </c>
      <c r="E107" s="14">
        <v>35</v>
      </c>
      <c r="F107" s="103">
        <f>1.73*37*265/1000</f>
        <v>16.96265</v>
      </c>
      <c r="G107" s="79">
        <f>116519/744000</f>
        <v>0.15661155913978494</v>
      </c>
      <c r="H107" s="103">
        <f t="shared" si="1"/>
        <v>16.806038440860217</v>
      </c>
      <c r="I107" s="85"/>
      <c r="J107" s="85"/>
      <c r="K107" s="85"/>
    </row>
    <row r="108" spans="1:11" x14ac:dyDescent="0.25">
      <c r="A108" s="96">
        <v>39</v>
      </c>
      <c r="B108" s="12" t="s">
        <v>104</v>
      </c>
      <c r="C108" s="81">
        <v>38.14</v>
      </c>
      <c r="D108" s="111">
        <v>120</v>
      </c>
      <c r="E108" s="13">
        <v>35</v>
      </c>
      <c r="F108" s="105">
        <f>1.73*37*380/1000</f>
        <v>24.323800000000002</v>
      </c>
      <c r="G108" s="55">
        <f>86219/744000</f>
        <v>0.11588575268817204</v>
      </c>
      <c r="H108" s="105">
        <f t="shared" si="1"/>
        <v>24.20791424731183</v>
      </c>
      <c r="I108" s="85"/>
      <c r="J108" s="85"/>
      <c r="K108" s="85"/>
    </row>
    <row r="109" spans="1:11" x14ac:dyDescent="0.25">
      <c r="A109" s="86"/>
      <c r="B109" s="85"/>
      <c r="C109" s="85"/>
      <c r="D109" s="85"/>
      <c r="E109" s="86"/>
      <c r="F109" s="85"/>
      <c r="G109" s="87"/>
      <c r="H109" s="88"/>
      <c r="I109" s="85"/>
      <c r="J109" s="85"/>
      <c r="K109" s="85"/>
    </row>
    <row r="110" spans="1:11" x14ac:dyDescent="0.25">
      <c r="A110" s="86"/>
      <c r="B110" s="85"/>
      <c r="C110" s="85"/>
      <c r="D110" s="85"/>
      <c r="E110" s="86"/>
      <c r="F110" s="85"/>
      <c r="G110" s="87"/>
      <c r="H110" s="88"/>
      <c r="I110" s="85"/>
      <c r="J110" s="85"/>
      <c r="K110" s="85"/>
    </row>
    <row r="111" spans="1:11" x14ac:dyDescent="0.25">
      <c r="A111" s="86"/>
      <c r="B111" s="85"/>
      <c r="C111" s="85"/>
      <c r="D111" s="85"/>
      <c r="E111" s="86"/>
      <c r="F111" s="85"/>
      <c r="G111" s="87"/>
      <c r="H111" s="88"/>
      <c r="I111" s="85"/>
      <c r="J111" s="85"/>
      <c r="K111" s="85"/>
    </row>
    <row r="112" spans="1:11" x14ac:dyDescent="0.25">
      <c r="A112" s="86"/>
      <c r="B112" s="85"/>
      <c r="C112" s="85"/>
      <c r="D112" s="85"/>
      <c r="E112" s="86"/>
      <c r="F112" s="85"/>
      <c r="G112" s="87"/>
      <c r="H112" s="88"/>
      <c r="I112" s="85"/>
      <c r="J112" s="85"/>
      <c r="K112" s="85"/>
    </row>
    <row r="113" spans="1:11" x14ac:dyDescent="0.25">
      <c r="A113" s="86"/>
      <c r="B113" s="85"/>
      <c r="C113" s="85"/>
      <c r="D113" s="85"/>
      <c r="E113" s="86"/>
      <c r="F113" s="85"/>
      <c r="G113" s="87"/>
      <c r="H113" s="88"/>
      <c r="I113" s="85"/>
      <c r="J113" s="85"/>
      <c r="K113" s="85"/>
    </row>
    <row r="114" spans="1:11" x14ac:dyDescent="0.25">
      <c r="A114" s="86"/>
      <c r="B114" s="85"/>
      <c r="C114" s="85"/>
      <c r="D114" s="85"/>
      <c r="E114" s="86"/>
      <c r="F114" s="85"/>
      <c r="G114" s="87"/>
      <c r="H114" s="88"/>
      <c r="I114" s="85"/>
      <c r="J114" s="85"/>
      <c r="K114" s="85"/>
    </row>
    <row r="115" spans="1:11" x14ac:dyDescent="0.25">
      <c r="A115" s="86"/>
      <c r="B115" s="85"/>
      <c r="C115" s="85"/>
      <c r="D115" s="85"/>
      <c r="E115" s="86"/>
      <c r="F115" s="85"/>
      <c r="G115" s="87"/>
      <c r="H115" s="88"/>
      <c r="I115" s="85"/>
      <c r="J115" s="85"/>
      <c r="K115" s="85"/>
    </row>
    <row r="116" spans="1:11" x14ac:dyDescent="0.25">
      <c r="A116" s="86"/>
      <c r="B116" s="85"/>
      <c r="C116" s="85"/>
      <c r="D116" s="85"/>
      <c r="E116" s="86"/>
      <c r="F116" s="85"/>
      <c r="G116" s="87"/>
      <c r="H116" s="88"/>
      <c r="I116" s="85"/>
      <c r="J116" s="85"/>
      <c r="K116" s="85"/>
    </row>
    <row r="117" spans="1:11" x14ac:dyDescent="0.25">
      <c r="A117" s="86"/>
      <c r="B117" s="85"/>
      <c r="C117" s="85"/>
      <c r="D117" s="85"/>
      <c r="E117" s="86"/>
      <c r="F117" s="85"/>
      <c r="G117" s="87"/>
      <c r="H117" s="88"/>
      <c r="I117" s="85"/>
      <c r="J117" s="85"/>
      <c r="K117" s="85"/>
    </row>
    <row r="118" spans="1:11" x14ac:dyDescent="0.25">
      <c r="A118" s="86"/>
      <c r="B118" s="85"/>
      <c r="C118" s="85"/>
      <c r="D118" s="85"/>
      <c r="E118" s="86"/>
      <c r="F118" s="85"/>
      <c r="G118" s="87"/>
      <c r="H118" s="88"/>
      <c r="I118" s="85"/>
      <c r="J118" s="85"/>
      <c r="K118" s="85"/>
    </row>
    <row r="119" spans="1:11" x14ac:dyDescent="0.25">
      <c r="A119" s="86"/>
      <c r="B119" s="85"/>
      <c r="C119" s="85"/>
      <c r="D119" s="85"/>
      <c r="E119" s="86"/>
      <c r="F119" s="85"/>
      <c r="G119" s="87"/>
      <c r="H119" s="88"/>
      <c r="I119" s="85"/>
      <c r="J119" s="85"/>
      <c r="K119" s="85"/>
    </row>
    <row r="120" spans="1:11" x14ac:dyDescent="0.25">
      <c r="A120" s="86"/>
      <c r="B120" s="85"/>
      <c r="C120" s="85"/>
      <c r="D120" s="85"/>
      <c r="E120" s="86"/>
      <c r="F120" s="85"/>
      <c r="G120" s="87"/>
      <c r="H120" s="88"/>
      <c r="I120" s="85"/>
      <c r="J120" s="85"/>
      <c r="K120" s="85"/>
    </row>
    <row r="121" spans="1:11" x14ac:dyDescent="0.25">
      <c r="A121" s="86"/>
      <c r="B121" s="85"/>
      <c r="C121" s="85"/>
      <c r="D121" s="85"/>
      <c r="E121" s="86"/>
      <c r="F121" s="85"/>
      <c r="G121" s="87"/>
      <c r="H121" s="88"/>
      <c r="I121" s="85"/>
      <c r="J121" s="85"/>
      <c r="K121" s="85"/>
    </row>
    <row r="122" spans="1:11" x14ac:dyDescent="0.25">
      <c r="A122" s="86"/>
      <c r="B122" s="85"/>
      <c r="C122" s="85"/>
      <c r="D122" s="85"/>
      <c r="E122" s="86"/>
      <c r="F122" s="85"/>
      <c r="G122" s="87"/>
      <c r="H122" s="88"/>
      <c r="I122" s="85"/>
      <c r="J122" s="85"/>
      <c r="K122" s="85"/>
    </row>
    <row r="123" spans="1:11" x14ac:dyDescent="0.25">
      <c r="A123" s="86"/>
      <c r="B123" s="85"/>
      <c r="C123" s="85"/>
      <c r="D123" s="85"/>
      <c r="E123" s="86"/>
      <c r="F123" s="85"/>
      <c r="G123" s="87"/>
      <c r="H123" s="88"/>
      <c r="I123" s="85"/>
      <c r="J123" s="85"/>
      <c r="K123" s="85"/>
    </row>
    <row r="124" spans="1:11" x14ac:dyDescent="0.25">
      <c r="A124" s="86"/>
      <c r="B124" s="85"/>
      <c r="C124" s="85"/>
      <c r="D124" s="85"/>
      <c r="E124" s="86"/>
      <c r="F124" s="85"/>
      <c r="G124" s="87"/>
      <c r="H124" s="88"/>
      <c r="I124" s="85"/>
      <c r="J124" s="85"/>
      <c r="K124" s="85"/>
    </row>
    <row r="125" spans="1:11" x14ac:dyDescent="0.25">
      <c r="A125" s="86"/>
      <c r="B125" s="85"/>
      <c r="C125" s="85"/>
      <c r="D125" s="85"/>
      <c r="E125" s="86"/>
      <c r="F125" s="85"/>
      <c r="G125" s="87"/>
      <c r="H125" s="88"/>
      <c r="I125" s="85"/>
      <c r="J125" s="85"/>
      <c r="K125" s="85"/>
    </row>
    <row r="126" spans="1:11" x14ac:dyDescent="0.25">
      <c r="A126" s="86"/>
      <c r="B126" s="85"/>
      <c r="C126" s="85"/>
      <c r="D126" s="85"/>
      <c r="E126" s="86"/>
      <c r="F126" s="85"/>
      <c r="G126" s="87"/>
      <c r="H126" s="88"/>
      <c r="I126" s="85"/>
      <c r="J126" s="85"/>
      <c r="K126" s="85"/>
    </row>
    <row r="127" spans="1:11" x14ac:dyDescent="0.25">
      <c r="A127" s="86"/>
      <c r="B127" s="85"/>
      <c r="C127" s="85"/>
      <c r="D127" s="85"/>
      <c r="E127" s="86"/>
      <c r="F127" s="85"/>
      <c r="G127" s="87"/>
      <c r="H127" s="88"/>
      <c r="I127" s="85"/>
      <c r="J127" s="85"/>
      <c r="K127" s="85"/>
    </row>
    <row r="128" spans="1:11" x14ac:dyDescent="0.25">
      <c r="A128" s="86"/>
      <c r="B128" s="85"/>
      <c r="C128" s="85"/>
      <c r="D128" s="85"/>
      <c r="E128" s="86"/>
      <c r="F128" s="85"/>
      <c r="G128" s="87"/>
      <c r="H128" s="88"/>
      <c r="I128" s="85"/>
      <c r="J128" s="85"/>
      <c r="K128" s="85"/>
    </row>
    <row r="129" spans="1:11" x14ac:dyDescent="0.25">
      <c r="A129" s="86"/>
      <c r="B129" s="85"/>
      <c r="C129" s="85"/>
      <c r="D129" s="85"/>
      <c r="E129" s="86"/>
      <c r="F129" s="85"/>
      <c r="G129" s="87"/>
      <c r="H129" s="88"/>
      <c r="I129" s="85"/>
      <c r="J129" s="85"/>
      <c r="K129" s="85"/>
    </row>
    <row r="130" spans="1:11" x14ac:dyDescent="0.25">
      <c r="A130" s="86"/>
      <c r="B130" s="85"/>
      <c r="C130" s="85"/>
      <c r="D130" s="85"/>
      <c r="E130" s="86"/>
      <c r="F130" s="85"/>
      <c r="G130" s="87"/>
      <c r="H130" s="88"/>
      <c r="I130" s="85"/>
      <c r="J130" s="85"/>
      <c r="K130" s="85"/>
    </row>
    <row r="131" spans="1:11" x14ac:dyDescent="0.25">
      <c r="A131" s="86"/>
      <c r="B131" s="85"/>
      <c r="C131" s="85"/>
      <c r="D131" s="85"/>
      <c r="E131" s="86"/>
      <c r="F131" s="85"/>
      <c r="G131" s="87"/>
      <c r="H131" s="88"/>
      <c r="I131" s="85"/>
      <c r="J131" s="85"/>
      <c r="K131" s="85"/>
    </row>
    <row r="132" spans="1:11" x14ac:dyDescent="0.25">
      <c r="A132" s="86"/>
      <c r="B132" s="85"/>
      <c r="C132" s="85"/>
      <c r="D132" s="85"/>
      <c r="E132" s="86"/>
      <c r="F132" s="85"/>
      <c r="G132" s="87"/>
      <c r="H132" s="88"/>
      <c r="I132" s="85"/>
      <c r="J132" s="85"/>
      <c r="K132" s="85"/>
    </row>
    <row r="133" spans="1:11" x14ac:dyDescent="0.25">
      <c r="A133" s="86"/>
      <c r="B133" s="85"/>
      <c r="C133" s="85"/>
      <c r="D133" s="85"/>
      <c r="E133" s="86"/>
      <c r="F133" s="85"/>
      <c r="G133" s="87"/>
      <c r="H133" s="88"/>
      <c r="I133" s="85"/>
      <c r="J133" s="85"/>
      <c r="K133" s="85"/>
    </row>
    <row r="134" spans="1:11" x14ac:dyDescent="0.25">
      <c r="A134" s="86"/>
      <c r="B134" s="85"/>
      <c r="C134" s="85"/>
      <c r="D134" s="85"/>
      <c r="E134" s="86"/>
      <c r="F134" s="85"/>
      <c r="G134" s="87"/>
      <c r="H134" s="88"/>
      <c r="I134" s="85"/>
      <c r="J134" s="85"/>
      <c r="K134" s="85"/>
    </row>
    <row r="135" spans="1:11" x14ac:dyDescent="0.25">
      <c r="A135" s="86"/>
      <c r="B135" s="85"/>
      <c r="C135" s="85"/>
      <c r="D135" s="85"/>
      <c r="E135" s="86"/>
      <c r="F135" s="85"/>
      <c r="G135" s="87"/>
      <c r="H135" s="88"/>
      <c r="I135" s="85"/>
      <c r="J135" s="85"/>
      <c r="K135" s="85"/>
    </row>
    <row r="136" spans="1:11" x14ac:dyDescent="0.25">
      <c r="A136" s="86"/>
      <c r="B136" s="85"/>
      <c r="C136" s="85"/>
      <c r="D136" s="85"/>
      <c r="E136" s="86"/>
      <c r="F136" s="85"/>
      <c r="G136" s="87"/>
      <c r="H136" s="88"/>
      <c r="I136" s="85"/>
      <c r="J136" s="85"/>
      <c r="K136" s="85"/>
    </row>
    <row r="137" spans="1:11" x14ac:dyDescent="0.25">
      <c r="A137" s="86"/>
      <c r="B137" s="85"/>
      <c r="C137" s="85"/>
      <c r="D137" s="85"/>
      <c r="E137" s="86"/>
      <c r="F137" s="85"/>
      <c r="G137" s="87"/>
      <c r="H137" s="88"/>
      <c r="I137" s="85"/>
      <c r="J137" s="85"/>
      <c r="K137" s="85"/>
    </row>
    <row r="138" spans="1:11" x14ac:dyDescent="0.25">
      <c r="A138" s="86"/>
      <c r="B138" s="85"/>
      <c r="C138" s="85"/>
      <c r="D138" s="85"/>
      <c r="E138" s="86"/>
      <c r="F138" s="85"/>
      <c r="G138" s="87"/>
      <c r="H138" s="88"/>
      <c r="I138" s="85"/>
      <c r="J138" s="85"/>
      <c r="K138" s="85"/>
    </row>
    <row r="139" spans="1:11" x14ac:dyDescent="0.25">
      <c r="A139" s="86"/>
      <c r="B139" s="85"/>
      <c r="C139" s="85"/>
      <c r="D139" s="85"/>
      <c r="E139" s="86"/>
      <c r="F139" s="85"/>
      <c r="G139" s="87"/>
      <c r="H139" s="88"/>
      <c r="I139" s="85"/>
      <c r="J139" s="85"/>
      <c r="K139" s="85"/>
    </row>
    <row r="140" spans="1:11" x14ac:dyDescent="0.25">
      <c r="A140" s="86"/>
      <c r="B140" s="85"/>
      <c r="C140" s="85"/>
      <c r="D140" s="85"/>
      <c r="E140" s="86"/>
      <c r="F140" s="85"/>
      <c r="G140" s="87"/>
      <c r="H140" s="88"/>
      <c r="I140" s="85"/>
      <c r="J140" s="85"/>
      <c r="K140" s="85"/>
    </row>
    <row r="141" spans="1:11" x14ac:dyDescent="0.25">
      <c r="A141" s="86"/>
      <c r="B141" s="85"/>
      <c r="C141" s="85"/>
      <c r="D141" s="85"/>
      <c r="E141" s="86"/>
      <c r="F141" s="85"/>
      <c r="G141" s="87"/>
      <c r="H141" s="88"/>
      <c r="I141" s="85"/>
      <c r="J141" s="85"/>
      <c r="K141" s="85"/>
    </row>
    <row r="142" spans="1:11" x14ac:dyDescent="0.25">
      <c r="A142" s="86"/>
      <c r="B142" s="85"/>
      <c r="C142" s="85"/>
      <c r="D142" s="85"/>
      <c r="E142" s="86"/>
      <c r="F142" s="85"/>
      <c r="G142" s="87"/>
      <c r="H142" s="88"/>
      <c r="I142" s="85"/>
      <c r="J142" s="85"/>
      <c r="K142" s="85"/>
    </row>
    <row r="143" spans="1:11" x14ac:dyDescent="0.25">
      <c r="A143" s="86"/>
      <c r="B143" s="85"/>
      <c r="C143" s="85"/>
      <c r="D143" s="85"/>
      <c r="E143" s="86"/>
      <c r="F143" s="85"/>
      <c r="G143" s="87"/>
      <c r="H143" s="88"/>
      <c r="I143" s="85"/>
      <c r="J143" s="85"/>
      <c r="K143" s="85"/>
    </row>
    <row r="144" spans="1:11" x14ac:dyDescent="0.25">
      <c r="A144" s="86"/>
      <c r="B144" s="85"/>
      <c r="C144" s="85"/>
      <c r="D144" s="85"/>
      <c r="E144" s="86"/>
      <c r="F144" s="85"/>
      <c r="G144" s="87"/>
      <c r="H144" s="88"/>
      <c r="I144" s="85"/>
      <c r="J144" s="85"/>
      <c r="K144" s="85"/>
    </row>
    <row r="145" spans="1:11" x14ac:dyDescent="0.25">
      <c r="A145" s="86"/>
      <c r="B145" s="85"/>
      <c r="C145" s="85"/>
      <c r="D145" s="85"/>
      <c r="E145" s="86"/>
      <c r="F145" s="85"/>
      <c r="G145" s="87"/>
      <c r="H145" s="88"/>
      <c r="I145" s="85"/>
      <c r="J145" s="85"/>
      <c r="K145" s="85"/>
    </row>
    <row r="146" spans="1:11" x14ac:dyDescent="0.25">
      <c r="A146" s="86"/>
      <c r="B146" s="85"/>
      <c r="C146" s="85"/>
      <c r="D146" s="85"/>
      <c r="E146" s="86"/>
      <c r="F146" s="85"/>
      <c r="G146" s="87"/>
      <c r="H146" s="88"/>
      <c r="I146" s="85"/>
      <c r="J146" s="85"/>
      <c r="K146" s="85"/>
    </row>
    <row r="147" spans="1:11" x14ac:dyDescent="0.25">
      <c r="A147" s="86"/>
      <c r="B147" s="85"/>
      <c r="C147" s="85"/>
      <c r="D147" s="85"/>
      <c r="E147" s="86"/>
      <c r="F147" s="85"/>
      <c r="G147" s="87"/>
      <c r="H147" s="88"/>
      <c r="I147" s="85"/>
      <c r="J147" s="85"/>
      <c r="K147" s="85"/>
    </row>
    <row r="148" spans="1:11" x14ac:dyDescent="0.25">
      <c r="A148" s="86"/>
      <c r="B148" s="85"/>
      <c r="C148" s="85"/>
      <c r="D148" s="85"/>
      <c r="E148" s="86"/>
      <c r="F148" s="85"/>
      <c r="G148" s="87"/>
      <c r="H148" s="88"/>
      <c r="I148" s="85"/>
      <c r="J148" s="85"/>
      <c r="K148" s="85"/>
    </row>
    <row r="149" spans="1:11" x14ac:dyDescent="0.25">
      <c r="A149" s="86"/>
      <c r="B149" s="85"/>
      <c r="C149" s="85"/>
      <c r="D149" s="85"/>
      <c r="E149" s="86"/>
      <c r="F149" s="85"/>
      <c r="G149" s="87"/>
      <c r="H149" s="88"/>
      <c r="I149" s="85"/>
      <c r="J149" s="85"/>
      <c r="K149" s="85"/>
    </row>
    <row r="150" spans="1:11" x14ac:dyDescent="0.25">
      <c r="A150" s="86"/>
      <c r="B150" s="85"/>
      <c r="C150" s="85"/>
      <c r="D150" s="85"/>
      <c r="E150" s="86"/>
      <c r="F150" s="85"/>
      <c r="G150" s="87"/>
      <c r="H150" s="88"/>
      <c r="I150" s="85"/>
      <c r="J150" s="85"/>
      <c r="K150" s="85"/>
    </row>
    <row r="151" spans="1:11" x14ac:dyDescent="0.25">
      <c r="A151" s="86"/>
      <c r="B151" s="85"/>
      <c r="C151" s="85"/>
      <c r="D151" s="85"/>
      <c r="E151" s="86"/>
      <c r="F151" s="85"/>
      <c r="G151" s="87"/>
      <c r="H151" s="88"/>
      <c r="I151" s="85"/>
      <c r="J151" s="85"/>
      <c r="K151" s="85"/>
    </row>
    <row r="152" spans="1:11" x14ac:dyDescent="0.25">
      <c r="A152" s="86"/>
      <c r="B152" s="85"/>
      <c r="C152" s="85"/>
      <c r="D152" s="85"/>
      <c r="E152" s="86"/>
      <c r="F152" s="85"/>
      <c r="G152" s="87"/>
      <c r="H152" s="88"/>
      <c r="I152" s="85"/>
      <c r="J152" s="85"/>
      <c r="K152" s="85"/>
    </row>
    <row r="153" spans="1:11" x14ac:dyDescent="0.25">
      <c r="A153" s="86"/>
      <c r="B153" s="85"/>
      <c r="C153" s="85"/>
      <c r="D153" s="85"/>
      <c r="E153" s="86"/>
      <c r="F153" s="85"/>
      <c r="G153" s="87"/>
      <c r="H153" s="88"/>
      <c r="I153" s="85"/>
      <c r="J153" s="85"/>
      <c r="K153" s="85"/>
    </row>
    <row r="154" spans="1:11" x14ac:dyDescent="0.25">
      <c r="A154" s="86"/>
      <c r="B154" s="85"/>
      <c r="C154" s="85"/>
      <c r="D154" s="85"/>
      <c r="E154" s="86"/>
      <c r="F154" s="85"/>
      <c r="G154" s="87"/>
      <c r="H154" s="88"/>
      <c r="I154" s="85"/>
      <c r="J154" s="85"/>
      <c r="K154" s="85"/>
    </row>
    <row r="155" spans="1:11" x14ac:dyDescent="0.25">
      <c r="A155" s="86"/>
      <c r="B155" s="85"/>
      <c r="C155" s="85"/>
      <c r="D155" s="85"/>
      <c r="E155" s="86"/>
      <c r="F155" s="85"/>
      <c r="G155" s="87"/>
      <c r="H155" s="88"/>
      <c r="I155" s="85"/>
      <c r="J155" s="85"/>
      <c r="K155" s="85"/>
    </row>
    <row r="156" spans="1:11" x14ac:dyDescent="0.25">
      <c r="A156" s="86"/>
      <c r="B156" s="85"/>
      <c r="C156" s="85"/>
      <c r="D156" s="85"/>
      <c r="E156" s="86"/>
      <c r="F156" s="85"/>
      <c r="G156" s="87"/>
      <c r="H156" s="88"/>
      <c r="I156" s="85"/>
      <c r="J156" s="85"/>
      <c r="K156" s="85"/>
    </row>
    <row r="157" spans="1:11" x14ac:dyDescent="0.25">
      <c r="A157" s="86"/>
      <c r="B157" s="85"/>
      <c r="C157" s="85"/>
      <c r="D157" s="85"/>
      <c r="E157" s="86"/>
      <c r="F157" s="85"/>
      <c r="G157" s="87"/>
      <c r="H157" s="88"/>
      <c r="I157" s="85"/>
      <c r="J157" s="85"/>
      <c r="K157" s="85"/>
    </row>
    <row r="158" spans="1:11" x14ac:dyDescent="0.25">
      <c r="A158" s="86"/>
      <c r="B158" s="85"/>
      <c r="C158" s="85"/>
      <c r="D158" s="85"/>
      <c r="E158" s="86"/>
      <c r="F158" s="85"/>
      <c r="G158" s="87"/>
      <c r="H158" s="88"/>
      <c r="I158" s="85"/>
      <c r="J158" s="85"/>
      <c r="K158" s="85"/>
    </row>
    <row r="159" spans="1:11" x14ac:dyDescent="0.25">
      <c r="A159" s="86"/>
      <c r="B159" s="85"/>
      <c r="C159" s="85"/>
      <c r="D159" s="85"/>
      <c r="E159" s="86"/>
      <c r="F159" s="85"/>
      <c r="G159" s="87"/>
      <c r="H159" s="88"/>
      <c r="I159" s="85"/>
      <c r="J159" s="85"/>
      <c r="K159" s="85"/>
    </row>
    <row r="160" spans="1:11" x14ac:dyDescent="0.25">
      <c r="A160" s="86"/>
      <c r="B160" s="85"/>
      <c r="C160" s="85"/>
      <c r="D160" s="85"/>
      <c r="E160" s="86"/>
      <c r="F160" s="85"/>
      <c r="G160" s="87"/>
      <c r="H160" s="88"/>
      <c r="I160" s="85"/>
      <c r="J160" s="85"/>
      <c r="K160" s="85"/>
    </row>
    <row r="161" spans="1:11" x14ac:dyDescent="0.25">
      <c r="A161" s="86"/>
      <c r="B161" s="85"/>
      <c r="C161" s="85"/>
      <c r="D161" s="85"/>
      <c r="E161" s="86"/>
      <c r="F161" s="85"/>
      <c r="G161" s="87"/>
      <c r="H161" s="88"/>
      <c r="I161" s="85"/>
      <c r="J161" s="85"/>
      <c r="K161" s="85"/>
    </row>
    <row r="162" spans="1:11" x14ac:dyDescent="0.25">
      <c r="A162" s="86"/>
      <c r="B162" s="85"/>
      <c r="C162" s="85"/>
      <c r="D162" s="85"/>
      <c r="E162" s="86"/>
      <c r="F162" s="85"/>
      <c r="G162" s="87"/>
      <c r="H162" s="88"/>
      <c r="I162" s="85"/>
      <c r="J162" s="85"/>
      <c r="K162" s="85"/>
    </row>
    <row r="163" spans="1:11" x14ac:dyDescent="0.25">
      <c r="A163" s="86"/>
      <c r="B163" s="85"/>
      <c r="C163" s="85"/>
      <c r="D163" s="85"/>
      <c r="E163" s="86"/>
      <c r="F163" s="85"/>
      <c r="G163" s="87"/>
      <c r="H163" s="88"/>
      <c r="I163" s="85"/>
      <c r="J163" s="85"/>
      <c r="K163" s="85"/>
    </row>
    <row r="164" spans="1:11" x14ac:dyDescent="0.25">
      <c r="A164" s="86"/>
      <c r="B164" s="85"/>
      <c r="C164" s="85"/>
      <c r="D164" s="85"/>
      <c r="E164" s="86"/>
      <c r="F164" s="85"/>
      <c r="G164" s="87"/>
      <c r="H164" s="88"/>
      <c r="I164" s="85"/>
      <c r="J164" s="85"/>
      <c r="K164" s="85"/>
    </row>
    <row r="165" spans="1:11" x14ac:dyDescent="0.25">
      <c r="A165" s="86"/>
      <c r="B165" s="85"/>
      <c r="C165" s="85"/>
      <c r="D165" s="85"/>
      <c r="E165" s="86"/>
      <c r="F165" s="85"/>
      <c r="G165" s="87"/>
      <c r="H165" s="88"/>
      <c r="I165" s="85"/>
      <c r="J165" s="85"/>
      <c r="K165" s="85"/>
    </row>
    <row r="166" spans="1:11" x14ac:dyDescent="0.25">
      <c r="A166" s="86"/>
      <c r="B166" s="85"/>
      <c r="C166" s="85"/>
      <c r="D166" s="85"/>
      <c r="E166" s="86"/>
      <c r="F166" s="85"/>
      <c r="G166" s="87"/>
      <c r="H166" s="88"/>
      <c r="I166" s="85"/>
      <c r="J166" s="85"/>
      <c r="K166" s="85"/>
    </row>
    <row r="167" spans="1:11" x14ac:dyDescent="0.25">
      <c r="A167" s="86"/>
      <c r="B167" s="85"/>
      <c r="C167" s="85"/>
      <c r="D167" s="85"/>
      <c r="E167" s="86"/>
      <c r="F167" s="85"/>
      <c r="G167" s="87"/>
      <c r="H167" s="88"/>
      <c r="I167" s="85"/>
      <c r="J167" s="85"/>
      <c r="K167" s="85"/>
    </row>
    <row r="168" spans="1:11" x14ac:dyDescent="0.25">
      <c r="A168" s="86"/>
      <c r="B168" s="85"/>
      <c r="C168" s="85"/>
      <c r="D168" s="85"/>
      <c r="E168" s="86"/>
      <c r="F168" s="85"/>
      <c r="G168" s="87"/>
      <c r="H168" s="88"/>
      <c r="I168" s="85"/>
      <c r="J168" s="85"/>
      <c r="K168" s="85"/>
    </row>
    <row r="169" spans="1:11" x14ac:dyDescent="0.25">
      <c r="A169" s="86"/>
      <c r="B169" s="85"/>
      <c r="C169" s="85"/>
      <c r="D169" s="85"/>
      <c r="E169" s="86"/>
      <c r="F169" s="85"/>
      <c r="G169" s="87"/>
      <c r="H169" s="88"/>
      <c r="I169" s="85"/>
      <c r="J169" s="85"/>
      <c r="K169" s="85"/>
    </row>
    <row r="170" spans="1:11" x14ac:dyDescent="0.25">
      <c r="A170" s="86"/>
      <c r="B170" s="85"/>
      <c r="C170" s="85"/>
      <c r="D170" s="85"/>
      <c r="E170" s="86"/>
      <c r="F170" s="85"/>
      <c r="G170" s="87"/>
      <c r="H170" s="88"/>
      <c r="I170" s="85"/>
      <c r="J170" s="85"/>
      <c r="K170" s="85"/>
    </row>
    <row r="171" spans="1:11" x14ac:dyDescent="0.25">
      <c r="A171" s="86"/>
      <c r="B171" s="85"/>
      <c r="C171" s="85"/>
      <c r="D171" s="85"/>
      <c r="E171" s="86"/>
      <c r="F171" s="85"/>
      <c r="G171" s="87"/>
      <c r="H171" s="88"/>
      <c r="I171" s="85"/>
      <c r="J171" s="85"/>
      <c r="K171" s="85"/>
    </row>
    <row r="172" spans="1:11" x14ac:dyDescent="0.25">
      <c r="A172" s="86"/>
      <c r="B172" s="85"/>
      <c r="C172" s="85"/>
      <c r="D172" s="85"/>
      <c r="E172" s="86"/>
      <c r="F172" s="85"/>
      <c r="G172" s="87"/>
      <c r="H172" s="88"/>
      <c r="I172" s="85"/>
      <c r="J172" s="85"/>
      <c r="K172" s="85"/>
    </row>
    <row r="173" spans="1:11" x14ac:dyDescent="0.25">
      <c r="A173" s="86"/>
      <c r="B173" s="85"/>
      <c r="C173" s="85"/>
      <c r="D173" s="85"/>
      <c r="E173" s="86"/>
      <c r="F173" s="85"/>
      <c r="G173" s="87"/>
      <c r="H173" s="88"/>
      <c r="I173" s="85"/>
      <c r="J173" s="85"/>
      <c r="K173" s="85"/>
    </row>
    <row r="174" spans="1:11" x14ac:dyDescent="0.25">
      <c r="A174" s="86"/>
      <c r="B174" s="85"/>
      <c r="C174" s="85"/>
      <c r="D174" s="85"/>
      <c r="E174" s="86"/>
      <c r="F174" s="85"/>
      <c r="G174" s="87"/>
      <c r="H174" s="88"/>
      <c r="I174" s="85"/>
      <c r="J174" s="85"/>
      <c r="K174" s="85"/>
    </row>
    <row r="175" spans="1:11" x14ac:dyDescent="0.25">
      <c r="A175" s="86"/>
      <c r="B175" s="85"/>
      <c r="C175" s="85"/>
      <c r="D175" s="85"/>
      <c r="E175" s="86"/>
      <c r="F175" s="85"/>
      <c r="G175" s="87"/>
      <c r="H175" s="88"/>
      <c r="I175" s="85"/>
      <c r="J175" s="85"/>
      <c r="K175" s="85"/>
    </row>
    <row r="176" spans="1:11" x14ac:dyDescent="0.25">
      <c r="A176" s="86"/>
      <c r="B176" s="85"/>
      <c r="C176" s="85"/>
      <c r="D176" s="85"/>
      <c r="E176" s="86"/>
      <c r="F176" s="85"/>
      <c r="G176" s="87"/>
      <c r="H176" s="88"/>
      <c r="I176" s="85"/>
      <c r="J176" s="85"/>
      <c r="K176" s="85"/>
    </row>
    <row r="177" spans="1:11" x14ac:dyDescent="0.25">
      <c r="A177" s="86"/>
      <c r="B177" s="85"/>
      <c r="C177" s="85"/>
      <c r="D177" s="85"/>
      <c r="E177" s="86"/>
      <c r="F177" s="85"/>
      <c r="G177" s="87"/>
      <c r="H177" s="88"/>
      <c r="I177" s="85"/>
      <c r="J177" s="85"/>
      <c r="K177" s="85"/>
    </row>
    <row r="178" spans="1:11" x14ac:dyDescent="0.25">
      <c r="A178" s="86"/>
      <c r="B178" s="85"/>
      <c r="C178" s="85"/>
      <c r="D178" s="85"/>
      <c r="E178" s="86"/>
      <c r="F178" s="85"/>
      <c r="G178" s="87"/>
      <c r="H178" s="88"/>
      <c r="I178" s="85"/>
      <c r="J178" s="85"/>
      <c r="K178" s="85"/>
    </row>
    <row r="179" spans="1:11" x14ac:dyDescent="0.25">
      <c r="A179" s="86"/>
      <c r="B179" s="85"/>
      <c r="C179" s="85"/>
      <c r="D179" s="85"/>
      <c r="E179" s="86"/>
      <c r="F179" s="85"/>
      <c r="G179" s="87"/>
      <c r="H179" s="88"/>
      <c r="I179" s="85"/>
      <c r="J179" s="85"/>
      <c r="K179" s="85"/>
    </row>
    <row r="180" spans="1:11" x14ac:dyDescent="0.25">
      <c r="A180" s="86"/>
      <c r="B180" s="85"/>
      <c r="C180" s="85"/>
      <c r="D180" s="85"/>
      <c r="E180" s="86"/>
      <c r="F180" s="85"/>
      <c r="G180" s="87"/>
      <c r="H180" s="88"/>
      <c r="I180" s="85"/>
      <c r="J180" s="85"/>
      <c r="K180" s="85"/>
    </row>
    <row r="181" spans="1:11" x14ac:dyDescent="0.25">
      <c r="A181" s="86"/>
      <c r="B181" s="85"/>
      <c r="C181" s="85"/>
      <c r="D181" s="85"/>
      <c r="E181" s="86"/>
      <c r="F181" s="85"/>
      <c r="G181" s="87"/>
      <c r="H181" s="88"/>
      <c r="I181" s="85"/>
      <c r="J181" s="85"/>
      <c r="K181" s="85"/>
    </row>
    <row r="182" spans="1:11" x14ac:dyDescent="0.25">
      <c r="A182" s="86"/>
      <c r="B182" s="85"/>
      <c r="C182" s="85"/>
      <c r="D182" s="85"/>
      <c r="E182" s="86"/>
      <c r="F182" s="85"/>
      <c r="G182" s="87"/>
      <c r="H182" s="88"/>
      <c r="I182" s="85"/>
      <c r="J182" s="85"/>
      <c r="K182" s="85"/>
    </row>
    <row r="183" spans="1:11" x14ac:dyDescent="0.25">
      <c r="A183" s="86"/>
      <c r="B183" s="85"/>
      <c r="C183" s="85"/>
      <c r="D183" s="85"/>
      <c r="E183" s="86"/>
      <c r="F183" s="85"/>
      <c r="G183" s="87"/>
      <c r="H183" s="88"/>
      <c r="I183" s="85"/>
      <c r="J183" s="85"/>
      <c r="K183" s="85"/>
    </row>
    <row r="184" spans="1:11" x14ac:dyDescent="0.25">
      <c r="A184" s="86"/>
      <c r="B184" s="85"/>
      <c r="C184" s="85"/>
      <c r="D184" s="85"/>
      <c r="E184" s="86"/>
      <c r="F184" s="85"/>
      <c r="G184" s="87"/>
      <c r="H184" s="88"/>
      <c r="I184" s="85"/>
      <c r="J184" s="85"/>
      <c r="K184" s="85"/>
    </row>
    <row r="185" spans="1:11" x14ac:dyDescent="0.25">
      <c r="A185" s="86"/>
      <c r="B185" s="85"/>
      <c r="C185" s="85"/>
      <c r="D185" s="85"/>
      <c r="E185" s="86"/>
      <c r="F185" s="85"/>
      <c r="G185" s="87"/>
      <c r="H185" s="88"/>
      <c r="I185" s="85"/>
      <c r="J185" s="85"/>
      <c r="K185" s="85"/>
    </row>
    <row r="186" spans="1:11" x14ac:dyDescent="0.25">
      <c r="A186" s="86"/>
      <c r="B186" s="85"/>
      <c r="C186" s="85"/>
      <c r="D186" s="85"/>
      <c r="E186" s="86"/>
      <c r="F186" s="85"/>
      <c r="G186" s="87"/>
      <c r="H186" s="88"/>
      <c r="I186" s="85"/>
      <c r="J186" s="85"/>
      <c r="K186" s="85"/>
    </row>
    <row r="187" spans="1:11" x14ac:dyDescent="0.25">
      <c r="A187" s="86"/>
      <c r="B187" s="85"/>
      <c r="C187" s="85"/>
      <c r="D187" s="85"/>
      <c r="E187" s="86"/>
      <c r="F187" s="85"/>
      <c r="G187" s="87"/>
      <c r="H187" s="88"/>
      <c r="I187" s="85"/>
      <c r="J187" s="85"/>
      <c r="K187" s="85"/>
    </row>
    <row r="188" spans="1:11" x14ac:dyDescent="0.25">
      <c r="A188" s="86"/>
      <c r="B188" s="85"/>
      <c r="C188" s="85"/>
      <c r="D188" s="85"/>
      <c r="E188" s="86"/>
      <c r="F188" s="85"/>
      <c r="G188" s="87"/>
      <c r="H188" s="88"/>
      <c r="I188" s="85"/>
      <c r="J188" s="85"/>
      <c r="K188" s="85"/>
    </row>
    <row r="189" spans="1:11" x14ac:dyDescent="0.25">
      <c r="A189" s="86"/>
      <c r="B189" s="85"/>
      <c r="C189" s="85"/>
      <c r="D189" s="85"/>
      <c r="E189" s="86"/>
      <c r="F189" s="85"/>
      <c r="G189" s="87"/>
      <c r="H189" s="88"/>
      <c r="I189" s="85"/>
      <c r="J189" s="85"/>
      <c r="K189" s="85"/>
    </row>
    <row r="190" spans="1:11" x14ac:dyDescent="0.25">
      <c r="A190" s="86"/>
      <c r="B190" s="85"/>
      <c r="C190" s="85"/>
      <c r="D190" s="85"/>
      <c r="E190" s="86"/>
      <c r="F190" s="85"/>
      <c r="G190" s="87"/>
      <c r="H190" s="88"/>
      <c r="I190" s="85"/>
      <c r="J190" s="85"/>
      <c r="K190" s="85"/>
    </row>
    <row r="191" spans="1:11" x14ac:dyDescent="0.25">
      <c r="A191" s="86"/>
      <c r="B191" s="85"/>
      <c r="C191" s="85"/>
      <c r="D191" s="85"/>
      <c r="E191" s="86"/>
      <c r="F191" s="85"/>
      <c r="G191" s="87"/>
      <c r="H191" s="88"/>
      <c r="I191" s="85"/>
      <c r="J191" s="85"/>
      <c r="K191" s="85"/>
    </row>
    <row r="192" spans="1:11" x14ac:dyDescent="0.25">
      <c r="A192" s="86"/>
      <c r="B192" s="85"/>
      <c r="C192" s="85"/>
      <c r="D192" s="85"/>
      <c r="E192" s="86"/>
      <c r="F192" s="85"/>
      <c r="G192" s="87"/>
      <c r="H192" s="88"/>
      <c r="I192" s="85"/>
      <c r="J192" s="85"/>
      <c r="K192" s="85"/>
    </row>
    <row r="193" spans="1:11" x14ac:dyDescent="0.25">
      <c r="A193" s="86"/>
      <c r="B193" s="85"/>
      <c r="C193" s="85"/>
      <c r="D193" s="85"/>
      <c r="E193" s="86"/>
      <c r="F193" s="85"/>
      <c r="G193" s="87"/>
      <c r="H193" s="88"/>
      <c r="I193" s="85"/>
      <c r="J193" s="85"/>
      <c r="K193" s="85"/>
    </row>
    <row r="194" spans="1:11" x14ac:dyDescent="0.25">
      <c r="A194" s="86"/>
      <c r="B194" s="85"/>
      <c r="C194" s="85"/>
      <c r="D194" s="85"/>
      <c r="E194" s="86"/>
      <c r="F194" s="85"/>
      <c r="G194" s="87"/>
      <c r="H194" s="88"/>
      <c r="I194" s="85"/>
      <c r="J194" s="85"/>
      <c r="K194" s="85"/>
    </row>
    <row r="195" spans="1:11" x14ac:dyDescent="0.25">
      <c r="A195" s="86"/>
      <c r="B195" s="85"/>
      <c r="C195" s="85"/>
      <c r="D195" s="85"/>
      <c r="E195" s="86"/>
      <c r="F195" s="85"/>
      <c r="G195" s="87"/>
      <c r="H195" s="88"/>
      <c r="I195" s="85"/>
      <c r="J195" s="85"/>
      <c r="K195" s="85"/>
    </row>
    <row r="196" spans="1:11" x14ac:dyDescent="0.25">
      <c r="A196" s="86"/>
      <c r="B196" s="85"/>
      <c r="C196" s="85"/>
      <c r="D196" s="85"/>
      <c r="E196" s="86"/>
      <c r="F196" s="85"/>
      <c r="G196" s="87"/>
      <c r="H196" s="88"/>
      <c r="I196" s="85"/>
      <c r="J196" s="85"/>
      <c r="K196" s="85"/>
    </row>
    <row r="197" spans="1:11" x14ac:dyDescent="0.25">
      <c r="A197" s="86"/>
      <c r="B197" s="85"/>
      <c r="C197" s="85"/>
      <c r="D197" s="85"/>
      <c r="E197" s="86"/>
      <c r="F197" s="85"/>
      <c r="G197" s="87"/>
      <c r="H197" s="88"/>
      <c r="I197" s="85"/>
      <c r="J197" s="85"/>
      <c r="K197" s="85"/>
    </row>
    <row r="198" spans="1:11" x14ac:dyDescent="0.25">
      <c r="A198" s="86"/>
      <c r="B198" s="85"/>
      <c r="C198" s="85"/>
      <c r="D198" s="85"/>
      <c r="E198" s="86"/>
      <c r="F198" s="85"/>
      <c r="G198" s="87"/>
      <c r="H198" s="88"/>
      <c r="I198" s="85"/>
      <c r="J198" s="85"/>
      <c r="K198" s="85"/>
    </row>
    <row r="199" spans="1:11" x14ac:dyDescent="0.25">
      <c r="A199" s="86"/>
      <c r="B199" s="85"/>
      <c r="C199" s="85"/>
      <c r="D199" s="85"/>
      <c r="E199" s="86"/>
      <c r="F199" s="85"/>
      <c r="G199" s="87"/>
      <c r="H199" s="88"/>
      <c r="I199" s="85"/>
      <c r="J199" s="85"/>
      <c r="K199" s="85"/>
    </row>
    <row r="200" spans="1:11" x14ac:dyDescent="0.25">
      <c r="A200" s="86"/>
      <c r="B200" s="85"/>
      <c r="C200" s="85"/>
      <c r="D200" s="85"/>
      <c r="E200" s="86"/>
      <c r="F200" s="85"/>
      <c r="G200" s="87"/>
      <c r="H200" s="88"/>
      <c r="I200" s="85"/>
      <c r="J200" s="85"/>
      <c r="K200" s="85"/>
    </row>
    <row r="201" spans="1:11" x14ac:dyDescent="0.25">
      <c r="A201" s="86"/>
      <c r="B201" s="85"/>
      <c r="C201" s="85"/>
      <c r="D201" s="85"/>
      <c r="E201" s="86"/>
      <c r="F201" s="85"/>
      <c r="G201" s="87"/>
      <c r="H201" s="88"/>
      <c r="I201" s="85"/>
      <c r="J201" s="85"/>
      <c r="K201" s="85"/>
    </row>
    <row r="202" spans="1:11" x14ac:dyDescent="0.25">
      <c r="A202" s="86"/>
      <c r="B202" s="85"/>
      <c r="C202" s="85"/>
      <c r="D202" s="85"/>
      <c r="E202" s="86"/>
      <c r="F202" s="85"/>
      <c r="G202" s="87"/>
      <c r="H202" s="88"/>
      <c r="I202" s="85"/>
      <c r="J202" s="85"/>
      <c r="K202" s="85"/>
    </row>
    <row r="203" spans="1:11" x14ac:dyDescent="0.25">
      <c r="A203" s="86"/>
      <c r="B203" s="85"/>
      <c r="C203" s="85"/>
      <c r="D203" s="85"/>
      <c r="E203" s="86"/>
      <c r="F203" s="85"/>
      <c r="G203" s="87"/>
      <c r="H203" s="88"/>
      <c r="I203" s="85"/>
      <c r="J203" s="85"/>
      <c r="K203" s="85"/>
    </row>
    <row r="204" spans="1:11" x14ac:dyDescent="0.25">
      <c r="A204" s="86"/>
      <c r="B204" s="85"/>
      <c r="C204" s="85"/>
      <c r="D204" s="85"/>
      <c r="E204" s="86"/>
      <c r="F204" s="85"/>
      <c r="G204" s="87"/>
      <c r="H204" s="88"/>
      <c r="I204" s="85"/>
      <c r="J204" s="85"/>
      <c r="K204" s="85"/>
    </row>
    <row r="205" spans="1:11" x14ac:dyDescent="0.25">
      <c r="A205" s="86"/>
      <c r="B205" s="85"/>
      <c r="C205" s="85"/>
      <c r="D205" s="85"/>
      <c r="E205" s="86"/>
      <c r="F205" s="85"/>
      <c r="G205" s="87"/>
      <c r="H205" s="88"/>
      <c r="I205" s="85"/>
      <c r="J205" s="85"/>
      <c r="K205" s="85"/>
    </row>
    <row r="206" spans="1:11" x14ac:dyDescent="0.25">
      <c r="A206" s="86"/>
      <c r="B206" s="85"/>
      <c r="C206" s="85"/>
      <c r="D206" s="85"/>
      <c r="E206" s="86"/>
      <c r="F206" s="85"/>
      <c r="G206" s="87"/>
      <c r="H206" s="88"/>
      <c r="I206" s="85"/>
      <c r="J206" s="85"/>
      <c r="K206" s="85"/>
    </row>
    <row r="207" spans="1:11" x14ac:dyDescent="0.25">
      <c r="A207" s="86"/>
      <c r="B207" s="85"/>
      <c r="C207" s="85"/>
      <c r="D207" s="85"/>
      <c r="E207" s="86"/>
      <c r="F207" s="85"/>
      <c r="G207" s="87"/>
      <c r="H207" s="88"/>
      <c r="I207" s="85"/>
      <c r="J207" s="85"/>
      <c r="K207" s="85"/>
    </row>
    <row r="208" spans="1:11" x14ac:dyDescent="0.25">
      <c r="A208" s="86"/>
      <c r="B208" s="85"/>
      <c r="C208" s="85"/>
      <c r="D208" s="85"/>
      <c r="E208" s="86"/>
      <c r="F208" s="85"/>
      <c r="G208" s="87"/>
      <c r="H208" s="88"/>
      <c r="I208" s="85"/>
      <c r="J208" s="85"/>
      <c r="K208" s="85"/>
    </row>
    <row r="209" spans="1:11" x14ac:dyDescent="0.25">
      <c r="A209" s="86"/>
      <c r="B209" s="85"/>
      <c r="C209" s="85"/>
      <c r="D209" s="85"/>
      <c r="E209" s="86"/>
      <c r="F209" s="85"/>
      <c r="G209" s="87"/>
      <c r="H209" s="88"/>
      <c r="I209" s="85"/>
      <c r="J209" s="85"/>
      <c r="K209" s="85"/>
    </row>
    <row r="210" spans="1:11" x14ac:dyDescent="0.25">
      <c r="A210" s="86"/>
      <c r="B210" s="85"/>
      <c r="C210" s="85"/>
      <c r="D210" s="85"/>
      <c r="E210" s="86"/>
      <c r="F210" s="85"/>
      <c r="G210" s="87"/>
      <c r="H210" s="88"/>
      <c r="I210" s="85"/>
      <c r="J210" s="85"/>
      <c r="K210" s="85"/>
    </row>
    <row r="211" spans="1:11" x14ac:dyDescent="0.25">
      <c r="A211" s="86"/>
      <c r="B211" s="85"/>
      <c r="C211" s="85"/>
      <c r="D211" s="85"/>
      <c r="E211" s="86"/>
      <c r="F211" s="85"/>
      <c r="G211" s="87"/>
      <c r="H211" s="88"/>
      <c r="I211" s="85"/>
      <c r="J211" s="85"/>
      <c r="K211" s="85"/>
    </row>
    <row r="212" spans="1:11" x14ac:dyDescent="0.25">
      <c r="A212" s="86"/>
      <c r="B212" s="85"/>
      <c r="C212" s="85"/>
      <c r="D212" s="85"/>
      <c r="E212" s="86"/>
      <c r="F212" s="85"/>
      <c r="G212" s="87"/>
      <c r="H212" s="88"/>
      <c r="I212" s="85"/>
      <c r="J212" s="85"/>
      <c r="K212" s="85"/>
    </row>
    <row r="213" spans="1:11" x14ac:dyDescent="0.25">
      <c r="A213" s="86"/>
      <c r="B213" s="85"/>
      <c r="C213" s="85"/>
      <c r="D213" s="85"/>
      <c r="E213" s="86"/>
      <c r="F213" s="85"/>
      <c r="G213" s="87"/>
      <c r="H213" s="88"/>
      <c r="I213" s="85"/>
      <c r="J213" s="85"/>
      <c r="K213" s="85"/>
    </row>
    <row r="214" spans="1:11" x14ac:dyDescent="0.25">
      <c r="A214" s="86"/>
      <c r="B214" s="85"/>
      <c r="C214" s="85"/>
      <c r="D214" s="85"/>
      <c r="E214" s="86"/>
      <c r="F214" s="85"/>
      <c r="G214" s="87"/>
      <c r="H214" s="88"/>
      <c r="I214" s="85"/>
      <c r="J214" s="85"/>
      <c r="K214" s="85"/>
    </row>
    <row r="215" spans="1:11" x14ac:dyDescent="0.25">
      <c r="A215" s="86"/>
      <c r="B215" s="85"/>
      <c r="C215" s="85"/>
      <c r="D215" s="85"/>
      <c r="E215" s="86"/>
      <c r="F215" s="85"/>
      <c r="G215" s="87"/>
      <c r="H215" s="88"/>
      <c r="I215" s="85"/>
      <c r="J215" s="85"/>
      <c r="K215" s="85"/>
    </row>
    <row r="216" spans="1:11" x14ac:dyDescent="0.25">
      <c r="A216" s="86"/>
      <c r="B216" s="85"/>
      <c r="C216" s="85"/>
      <c r="D216" s="85"/>
      <c r="E216" s="86"/>
      <c r="F216" s="85"/>
      <c r="G216" s="87"/>
      <c r="H216" s="88"/>
      <c r="I216" s="85"/>
      <c r="J216" s="85"/>
      <c r="K216" s="85"/>
    </row>
    <row r="217" spans="1:11" x14ac:dyDescent="0.25">
      <c r="A217" s="86"/>
      <c r="B217" s="85"/>
      <c r="C217" s="85"/>
      <c r="D217" s="85"/>
      <c r="E217" s="86"/>
      <c r="F217" s="85"/>
      <c r="G217" s="87"/>
      <c r="H217" s="88"/>
      <c r="I217" s="85"/>
      <c r="J217" s="85"/>
      <c r="K217" s="85"/>
    </row>
    <row r="218" spans="1:11" x14ac:dyDescent="0.25">
      <c r="A218" s="86"/>
      <c r="B218" s="85"/>
      <c r="C218" s="85"/>
      <c r="D218" s="85"/>
      <c r="E218" s="86"/>
      <c r="F218" s="85"/>
      <c r="G218" s="87"/>
      <c r="H218" s="88"/>
      <c r="I218" s="85"/>
      <c r="J218" s="85"/>
      <c r="K218" s="85"/>
    </row>
    <row r="219" spans="1:11" x14ac:dyDescent="0.25">
      <c r="A219" s="86"/>
      <c r="B219" s="85"/>
      <c r="C219" s="85"/>
      <c r="D219" s="85"/>
      <c r="E219" s="86"/>
      <c r="F219" s="85"/>
      <c r="G219" s="87"/>
      <c r="H219" s="88"/>
      <c r="I219" s="85"/>
      <c r="J219" s="85"/>
      <c r="K219" s="85"/>
    </row>
    <row r="220" spans="1:11" x14ac:dyDescent="0.25">
      <c r="A220" s="86"/>
      <c r="B220" s="85"/>
      <c r="C220" s="85"/>
      <c r="D220" s="85"/>
      <c r="E220" s="86"/>
      <c r="F220" s="85"/>
      <c r="G220" s="87"/>
      <c r="H220" s="88"/>
      <c r="I220" s="85"/>
      <c r="J220" s="85"/>
      <c r="K220" s="85"/>
    </row>
    <row r="221" spans="1:11" x14ac:dyDescent="0.25">
      <c r="A221" s="86"/>
      <c r="B221" s="85"/>
      <c r="C221" s="85"/>
      <c r="D221" s="85"/>
      <c r="E221" s="86"/>
      <c r="F221" s="85"/>
      <c r="G221" s="87"/>
      <c r="H221" s="88"/>
      <c r="I221" s="85"/>
      <c r="J221" s="85"/>
      <c r="K221" s="85"/>
    </row>
    <row r="222" spans="1:11" x14ac:dyDescent="0.25">
      <c r="A222" s="86"/>
      <c r="B222" s="85"/>
      <c r="C222" s="85"/>
      <c r="D222" s="85"/>
      <c r="E222" s="86"/>
      <c r="F222" s="85"/>
      <c r="G222" s="87"/>
      <c r="H222" s="88"/>
      <c r="I222" s="85"/>
      <c r="J222" s="85"/>
      <c r="K222" s="85"/>
    </row>
    <row r="223" spans="1:11" x14ac:dyDescent="0.25">
      <c r="A223" s="86"/>
      <c r="B223" s="85"/>
      <c r="C223" s="85"/>
      <c r="D223" s="85"/>
      <c r="E223" s="86"/>
      <c r="F223" s="85"/>
      <c r="G223" s="87"/>
      <c r="H223" s="88"/>
      <c r="I223" s="85"/>
      <c r="J223" s="85"/>
      <c r="K223" s="85"/>
    </row>
    <row r="224" spans="1:11" x14ac:dyDescent="0.25">
      <c r="A224" s="86"/>
      <c r="B224" s="85"/>
      <c r="C224" s="85"/>
      <c r="D224" s="85"/>
      <c r="E224" s="86"/>
      <c r="F224" s="85"/>
      <c r="G224" s="87"/>
      <c r="H224" s="88"/>
      <c r="I224" s="85"/>
      <c r="J224" s="85"/>
      <c r="K224" s="85"/>
    </row>
    <row r="225" spans="1:11" x14ac:dyDescent="0.25">
      <c r="A225" s="86"/>
      <c r="B225" s="85"/>
      <c r="C225" s="85"/>
      <c r="D225" s="85"/>
      <c r="E225" s="86"/>
      <c r="F225" s="85"/>
      <c r="G225" s="87"/>
      <c r="H225" s="88"/>
      <c r="I225" s="85"/>
      <c r="J225" s="85"/>
      <c r="K225" s="85"/>
    </row>
    <row r="226" spans="1:11" x14ac:dyDescent="0.25">
      <c r="A226" s="86"/>
      <c r="B226" s="85"/>
      <c r="C226" s="85"/>
      <c r="D226" s="85"/>
      <c r="E226" s="86"/>
      <c r="F226" s="85"/>
      <c r="G226" s="87"/>
      <c r="H226" s="88"/>
      <c r="I226" s="85"/>
      <c r="J226" s="85"/>
      <c r="K226" s="85"/>
    </row>
    <row r="227" spans="1:11" x14ac:dyDescent="0.25">
      <c r="A227" s="86"/>
      <c r="B227" s="85"/>
      <c r="C227" s="85"/>
      <c r="D227" s="85"/>
      <c r="E227" s="86"/>
      <c r="F227" s="85"/>
      <c r="G227" s="87"/>
      <c r="H227" s="88"/>
      <c r="I227" s="85"/>
      <c r="J227" s="85"/>
      <c r="K227" s="85"/>
    </row>
    <row r="228" spans="1:11" x14ac:dyDescent="0.25">
      <c r="A228" s="86"/>
      <c r="B228" s="85"/>
      <c r="C228" s="85"/>
      <c r="D228" s="85"/>
      <c r="E228" s="86"/>
      <c r="F228" s="85"/>
      <c r="G228" s="87"/>
      <c r="H228" s="88"/>
      <c r="I228" s="85"/>
      <c r="J228" s="85"/>
      <c r="K228" s="85"/>
    </row>
    <row r="229" spans="1:11" x14ac:dyDescent="0.25">
      <c r="A229" s="86"/>
      <c r="B229" s="85"/>
      <c r="C229" s="85"/>
      <c r="D229" s="85"/>
      <c r="E229" s="86"/>
      <c r="F229" s="85"/>
      <c r="G229" s="87"/>
      <c r="H229" s="88"/>
      <c r="I229" s="85"/>
      <c r="J229" s="85"/>
      <c r="K229" s="85"/>
    </row>
    <row r="230" spans="1:11" x14ac:dyDescent="0.25">
      <c r="A230" s="86"/>
      <c r="B230" s="85"/>
      <c r="C230" s="85"/>
      <c r="D230" s="85"/>
      <c r="E230" s="86"/>
      <c r="F230" s="85"/>
      <c r="G230" s="87"/>
      <c r="H230" s="88"/>
      <c r="I230" s="85"/>
      <c r="J230" s="85"/>
      <c r="K230" s="85"/>
    </row>
    <row r="231" spans="1:11" x14ac:dyDescent="0.25">
      <c r="A231" s="86"/>
      <c r="B231" s="85"/>
      <c r="C231" s="85"/>
      <c r="D231" s="85"/>
      <c r="E231" s="86"/>
      <c r="F231" s="85"/>
      <c r="G231" s="87"/>
      <c r="H231" s="88"/>
      <c r="I231" s="85"/>
      <c r="J231" s="85"/>
      <c r="K231" s="85"/>
    </row>
    <row r="232" spans="1:11" x14ac:dyDescent="0.25">
      <c r="A232" s="86"/>
      <c r="B232" s="85"/>
      <c r="C232" s="85"/>
      <c r="D232" s="85"/>
      <c r="E232" s="86"/>
      <c r="F232" s="85"/>
      <c r="G232" s="87"/>
      <c r="H232" s="88"/>
      <c r="I232" s="85"/>
      <c r="J232" s="85"/>
      <c r="K232" s="85"/>
    </row>
    <row r="233" spans="1:11" x14ac:dyDescent="0.25">
      <c r="A233" s="86"/>
      <c r="B233" s="85"/>
      <c r="C233" s="85"/>
      <c r="D233" s="85"/>
      <c r="E233" s="86"/>
      <c r="F233" s="85"/>
      <c r="G233" s="87"/>
      <c r="H233" s="88"/>
      <c r="I233" s="85"/>
      <c r="J233" s="85"/>
      <c r="K233" s="85"/>
    </row>
    <row r="234" spans="1:11" x14ac:dyDescent="0.25">
      <c r="A234" s="86"/>
      <c r="B234" s="85"/>
      <c r="C234" s="85"/>
      <c r="D234" s="85"/>
      <c r="E234" s="86"/>
      <c r="F234" s="85"/>
      <c r="G234" s="87"/>
      <c r="H234" s="88"/>
      <c r="I234" s="85"/>
      <c r="J234" s="85"/>
      <c r="K234" s="85"/>
    </row>
    <row r="235" spans="1:11" x14ac:dyDescent="0.25">
      <c r="A235" s="86"/>
      <c r="B235" s="85"/>
      <c r="C235" s="85"/>
      <c r="D235" s="85"/>
      <c r="E235" s="86"/>
      <c r="F235" s="85"/>
      <c r="G235" s="87"/>
      <c r="H235" s="88"/>
      <c r="I235" s="85"/>
      <c r="J235" s="85"/>
      <c r="K235" s="85"/>
    </row>
    <row r="236" spans="1:11" x14ac:dyDescent="0.25">
      <c r="A236" s="86"/>
      <c r="B236" s="85"/>
      <c r="C236" s="85"/>
      <c r="D236" s="85"/>
      <c r="E236" s="86"/>
      <c r="F236" s="85"/>
      <c r="G236" s="87"/>
      <c r="H236" s="88"/>
      <c r="I236" s="85"/>
      <c r="J236" s="85"/>
      <c r="K236" s="85"/>
    </row>
    <row r="237" spans="1:11" x14ac:dyDescent="0.25">
      <c r="A237" s="86"/>
      <c r="B237" s="85"/>
      <c r="C237" s="85"/>
      <c r="D237" s="85"/>
      <c r="E237" s="86"/>
      <c r="F237" s="85"/>
      <c r="G237" s="87"/>
      <c r="H237" s="88"/>
      <c r="I237" s="85"/>
      <c r="J237" s="85"/>
      <c r="K237" s="85"/>
    </row>
    <row r="238" spans="1:11" x14ac:dyDescent="0.25">
      <c r="A238" s="86"/>
      <c r="B238" s="85"/>
      <c r="C238" s="85"/>
      <c r="D238" s="85"/>
      <c r="E238" s="86"/>
      <c r="F238" s="85"/>
      <c r="G238" s="87"/>
      <c r="H238" s="88"/>
      <c r="I238" s="85"/>
      <c r="J238" s="85"/>
      <c r="K238" s="85"/>
    </row>
    <row r="239" spans="1:11" x14ac:dyDescent="0.25">
      <c r="A239" s="86"/>
      <c r="B239" s="85"/>
      <c r="C239" s="85"/>
      <c r="D239" s="85"/>
      <c r="E239" s="86"/>
      <c r="F239" s="85"/>
      <c r="G239" s="87"/>
      <c r="H239" s="88"/>
      <c r="I239" s="85"/>
      <c r="J239" s="85"/>
      <c r="K239" s="85"/>
    </row>
    <row r="240" spans="1:11" x14ac:dyDescent="0.25">
      <c r="A240" s="86"/>
      <c r="B240" s="85"/>
      <c r="C240" s="85"/>
      <c r="D240" s="85"/>
      <c r="E240" s="86"/>
      <c r="F240" s="85"/>
      <c r="G240" s="87"/>
      <c r="H240" s="88"/>
      <c r="I240" s="85"/>
      <c r="J240" s="85"/>
      <c r="K240" s="85"/>
    </row>
    <row r="241" spans="1:11" x14ac:dyDescent="0.25">
      <c r="A241" s="86"/>
      <c r="B241" s="85"/>
      <c r="C241" s="85"/>
      <c r="D241" s="85"/>
      <c r="E241" s="86"/>
      <c r="F241" s="85"/>
      <c r="G241" s="87"/>
      <c r="H241" s="88"/>
      <c r="I241" s="85"/>
      <c r="J241" s="85"/>
      <c r="K241" s="85"/>
    </row>
    <row r="242" spans="1:11" x14ac:dyDescent="0.25">
      <c r="A242" s="86"/>
      <c r="B242" s="85"/>
      <c r="C242" s="85"/>
      <c r="D242" s="85"/>
      <c r="E242" s="86"/>
      <c r="F242" s="85"/>
      <c r="G242" s="87"/>
      <c r="H242" s="88"/>
      <c r="I242" s="85"/>
      <c r="J242" s="85"/>
      <c r="K242" s="85"/>
    </row>
    <row r="243" spans="1:11" x14ac:dyDescent="0.25">
      <c r="A243" s="86"/>
      <c r="B243" s="85"/>
      <c r="C243" s="85"/>
      <c r="D243" s="85"/>
      <c r="E243" s="86"/>
      <c r="F243" s="85"/>
      <c r="G243" s="87"/>
      <c r="H243" s="88"/>
      <c r="I243" s="85"/>
      <c r="J243" s="85"/>
      <c r="K243" s="85"/>
    </row>
    <row r="244" spans="1:11" x14ac:dyDescent="0.25">
      <c r="A244" s="86"/>
      <c r="B244" s="85"/>
      <c r="C244" s="85"/>
      <c r="D244" s="85"/>
      <c r="E244" s="86"/>
      <c r="F244" s="85"/>
      <c r="G244" s="87"/>
      <c r="H244" s="88"/>
      <c r="I244" s="85"/>
      <c r="J244" s="85"/>
      <c r="K244" s="85"/>
    </row>
    <row r="245" spans="1:11" x14ac:dyDescent="0.25">
      <c r="A245" s="86"/>
      <c r="B245" s="85"/>
      <c r="C245" s="85"/>
      <c r="D245" s="85"/>
      <c r="E245" s="86"/>
      <c r="F245" s="85"/>
      <c r="G245" s="87"/>
      <c r="H245" s="88"/>
      <c r="I245" s="85"/>
      <c r="J245" s="85"/>
      <c r="K245" s="85"/>
    </row>
    <row r="246" spans="1:11" x14ac:dyDescent="0.25">
      <c r="A246" s="86"/>
      <c r="B246" s="85"/>
      <c r="C246" s="85"/>
      <c r="D246" s="85"/>
      <c r="E246" s="86"/>
      <c r="F246" s="85"/>
      <c r="G246" s="87"/>
      <c r="H246" s="88"/>
      <c r="I246" s="85"/>
      <c r="J246" s="85"/>
      <c r="K246" s="85"/>
    </row>
    <row r="247" spans="1:11" x14ac:dyDescent="0.25">
      <c r="A247" s="86"/>
      <c r="B247" s="85"/>
      <c r="C247" s="85"/>
      <c r="D247" s="85"/>
      <c r="E247" s="86"/>
      <c r="F247" s="85"/>
      <c r="G247" s="87"/>
      <c r="H247" s="88"/>
      <c r="I247" s="85"/>
      <c r="J247" s="85"/>
      <c r="K247" s="85"/>
    </row>
    <row r="248" spans="1:11" x14ac:dyDescent="0.25">
      <c r="A248" s="86"/>
      <c r="B248" s="85"/>
      <c r="C248" s="85"/>
      <c r="D248" s="85"/>
      <c r="E248" s="86"/>
      <c r="F248" s="85"/>
      <c r="G248" s="87"/>
      <c r="H248" s="88"/>
      <c r="I248" s="85"/>
      <c r="J248" s="85"/>
      <c r="K248" s="85"/>
    </row>
    <row r="249" spans="1:11" x14ac:dyDescent="0.25">
      <c r="A249" s="86"/>
      <c r="B249" s="85"/>
      <c r="C249" s="85"/>
      <c r="D249" s="85"/>
      <c r="E249" s="86"/>
      <c r="F249" s="85"/>
      <c r="G249" s="87"/>
      <c r="H249" s="88"/>
      <c r="I249" s="85"/>
      <c r="J249" s="85"/>
      <c r="K249" s="85"/>
    </row>
    <row r="250" spans="1:11" x14ac:dyDescent="0.25">
      <c r="A250" s="86"/>
      <c r="B250" s="85"/>
      <c r="C250" s="85"/>
      <c r="D250" s="85"/>
      <c r="E250" s="86"/>
      <c r="F250" s="85"/>
      <c r="G250" s="87"/>
      <c r="H250" s="88"/>
      <c r="I250" s="85"/>
      <c r="J250" s="85"/>
      <c r="K250" s="85"/>
    </row>
    <row r="251" spans="1:11" x14ac:dyDescent="0.25">
      <c r="A251" s="86"/>
      <c r="B251" s="85"/>
      <c r="C251" s="85"/>
      <c r="D251" s="85"/>
      <c r="E251" s="86"/>
      <c r="F251" s="85"/>
      <c r="G251" s="87"/>
      <c r="H251" s="88"/>
      <c r="I251" s="85"/>
      <c r="J251" s="85"/>
      <c r="K251" s="85"/>
    </row>
    <row r="252" spans="1:11" x14ac:dyDescent="0.25">
      <c r="A252" s="86"/>
      <c r="B252" s="85"/>
      <c r="C252" s="85"/>
      <c r="D252" s="85"/>
      <c r="E252" s="86"/>
      <c r="F252" s="85"/>
      <c r="G252" s="87"/>
      <c r="H252" s="88"/>
      <c r="I252" s="85"/>
      <c r="J252" s="85"/>
      <c r="K252" s="85"/>
    </row>
    <row r="253" spans="1:11" x14ac:dyDescent="0.25">
      <c r="A253" s="86"/>
      <c r="B253" s="85"/>
      <c r="C253" s="85"/>
      <c r="D253" s="85"/>
      <c r="E253" s="86"/>
      <c r="F253" s="85"/>
      <c r="G253" s="87"/>
      <c r="H253" s="88"/>
      <c r="I253" s="85"/>
      <c r="J253" s="85"/>
      <c r="K253" s="85"/>
    </row>
    <row r="254" spans="1:11" x14ac:dyDescent="0.25">
      <c r="A254" s="86"/>
      <c r="B254" s="85"/>
      <c r="C254" s="85"/>
      <c r="D254" s="85"/>
      <c r="E254" s="86"/>
      <c r="F254" s="85"/>
      <c r="G254" s="87"/>
      <c r="H254" s="88"/>
      <c r="I254" s="85"/>
      <c r="J254" s="85"/>
      <c r="K254" s="85"/>
    </row>
    <row r="255" spans="1:11" x14ac:dyDescent="0.25">
      <c r="A255" s="86"/>
      <c r="B255" s="85"/>
      <c r="C255" s="85"/>
      <c r="D255" s="85"/>
      <c r="E255" s="86"/>
      <c r="F255" s="85"/>
      <c r="G255" s="87"/>
      <c r="H255" s="88"/>
      <c r="I255" s="85"/>
      <c r="J255" s="85"/>
      <c r="K255" s="85"/>
    </row>
    <row r="256" spans="1:11" x14ac:dyDescent="0.25">
      <c r="A256" s="86"/>
      <c r="B256" s="85"/>
      <c r="C256" s="85"/>
      <c r="D256" s="85"/>
      <c r="E256" s="86"/>
      <c r="F256" s="85"/>
      <c r="G256" s="87"/>
      <c r="H256" s="88"/>
      <c r="I256" s="85"/>
      <c r="J256" s="85"/>
      <c r="K256" s="85"/>
    </row>
    <row r="257" spans="1:11" x14ac:dyDescent="0.25">
      <c r="A257" s="86"/>
      <c r="B257" s="85"/>
      <c r="C257" s="85"/>
      <c r="D257" s="85"/>
      <c r="E257" s="86"/>
      <c r="F257" s="85"/>
      <c r="G257" s="87"/>
      <c r="H257" s="88"/>
      <c r="I257" s="85"/>
      <c r="J257" s="85"/>
      <c r="K257" s="85"/>
    </row>
    <row r="258" spans="1:11" x14ac:dyDescent="0.25">
      <c r="A258" s="86"/>
      <c r="B258" s="85"/>
      <c r="C258" s="85"/>
      <c r="D258" s="85"/>
      <c r="E258" s="86"/>
      <c r="F258" s="85"/>
      <c r="G258" s="87"/>
      <c r="H258" s="88"/>
      <c r="I258" s="85"/>
      <c r="J258" s="85"/>
      <c r="K258" s="85"/>
    </row>
    <row r="259" spans="1:11" x14ac:dyDescent="0.25">
      <c r="A259" s="86"/>
      <c r="B259" s="85"/>
      <c r="C259" s="85"/>
      <c r="D259" s="85"/>
      <c r="E259" s="86"/>
      <c r="F259" s="85"/>
      <c r="G259" s="87"/>
      <c r="H259" s="88"/>
      <c r="I259" s="85"/>
      <c r="J259" s="85"/>
      <c r="K259" s="85"/>
    </row>
    <row r="260" spans="1:11" x14ac:dyDescent="0.25">
      <c r="A260" s="86"/>
      <c r="B260" s="85"/>
      <c r="C260" s="85"/>
      <c r="D260" s="85"/>
      <c r="E260" s="86"/>
      <c r="F260" s="85"/>
      <c r="G260" s="87"/>
      <c r="H260" s="88"/>
      <c r="I260" s="85"/>
      <c r="J260" s="85"/>
      <c r="K260" s="85"/>
    </row>
    <row r="261" spans="1:11" x14ac:dyDescent="0.25">
      <c r="A261" s="86"/>
      <c r="B261" s="85"/>
      <c r="C261" s="85"/>
      <c r="D261" s="85"/>
      <c r="E261" s="86"/>
      <c r="F261" s="85"/>
      <c r="G261" s="87"/>
      <c r="H261" s="88"/>
      <c r="I261" s="85"/>
      <c r="J261" s="85"/>
      <c r="K261" s="85"/>
    </row>
    <row r="262" spans="1:11" x14ac:dyDescent="0.25">
      <c r="A262" s="86"/>
      <c r="B262" s="85"/>
      <c r="C262" s="85"/>
      <c r="D262" s="85"/>
      <c r="E262" s="86"/>
      <c r="F262" s="85"/>
      <c r="G262" s="87"/>
      <c r="H262" s="88"/>
      <c r="I262" s="85"/>
      <c r="J262" s="85"/>
      <c r="K262" s="85"/>
    </row>
    <row r="263" spans="1:11" x14ac:dyDescent="0.25">
      <c r="A263" s="86"/>
      <c r="B263" s="85"/>
      <c r="C263" s="85"/>
      <c r="D263" s="85"/>
      <c r="E263" s="86"/>
      <c r="F263" s="85"/>
      <c r="G263" s="87"/>
      <c r="H263" s="88"/>
      <c r="I263" s="85"/>
      <c r="J263" s="85"/>
      <c r="K263" s="85"/>
    </row>
    <row r="264" spans="1:11" x14ac:dyDescent="0.25">
      <c r="A264" s="86"/>
      <c r="B264" s="85"/>
      <c r="C264" s="85"/>
      <c r="D264" s="85"/>
      <c r="E264" s="86"/>
      <c r="F264" s="85"/>
      <c r="G264" s="87"/>
      <c r="H264" s="88"/>
      <c r="I264" s="85"/>
      <c r="J264" s="85"/>
      <c r="K264" s="85"/>
    </row>
    <row r="265" spans="1:11" x14ac:dyDescent="0.25">
      <c r="A265" s="86"/>
      <c r="B265" s="85"/>
      <c r="C265" s="85"/>
      <c r="D265" s="85"/>
      <c r="E265" s="86"/>
      <c r="F265" s="85"/>
      <c r="G265" s="87"/>
      <c r="H265" s="88"/>
      <c r="I265" s="85"/>
      <c r="J265" s="85"/>
      <c r="K265" s="85"/>
    </row>
    <row r="266" spans="1:11" x14ac:dyDescent="0.25">
      <c r="A266" s="86"/>
      <c r="B266" s="85"/>
      <c r="C266" s="85"/>
      <c r="D266" s="85"/>
      <c r="E266" s="86"/>
      <c r="F266" s="85"/>
      <c r="G266" s="87"/>
      <c r="H266" s="88"/>
      <c r="I266" s="85"/>
      <c r="J266" s="85"/>
      <c r="K266" s="85"/>
    </row>
    <row r="267" spans="1:11" x14ac:dyDescent="0.25">
      <c r="A267" s="86"/>
      <c r="B267" s="85"/>
      <c r="C267" s="85"/>
      <c r="D267" s="85"/>
      <c r="E267" s="86"/>
      <c r="F267" s="85"/>
      <c r="G267" s="87"/>
      <c r="H267" s="88"/>
      <c r="I267" s="85"/>
      <c r="J267" s="85"/>
      <c r="K267" s="85"/>
    </row>
    <row r="268" spans="1:11" x14ac:dyDescent="0.25">
      <c r="A268" s="86"/>
      <c r="B268" s="85"/>
      <c r="C268" s="85"/>
      <c r="D268" s="85"/>
      <c r="E268" s="86"/>
      <c r="F268" s="85"/>
      <c r="G268" s="87"/>
      <c r="H268" s="88"/>
      <c r="I268" s="85"/>
      <c r="J268" s="85"/>
      <c r="K268" s="85"/>
    </row>
    <row r="269" spans="1:11" x14ac:dyDescent="0.25">
      <c r="A269" s="86"/>
      <c r="B269" s="85"/>
      <c r="C269" s="85"/>
      <c r="D269" s="85"/>
      <c r="E269" s="86"/>
      <c r="F269" s="85"/>
      <c r="G269" s="87"/>
      <c r="H269" s="88"/>
      <c r="I269" s="85"/>
      <c r="J269" s="85"/>
      <c r="K269" s="85"/>
    </row>
    <row r="270" spans="1:11" x14ac:dyDescent="0.25">
      <c r="A270" s="86"/>
      <c r="B270" s="85"/>
      <c r="C270" s="85"/>
      <c r="D270" s="85"/>
      <c r="E270" s="86"/>
      <c r="F270" s="85"/>
      <c r="G270" s="87"/>
      <c r="H270" s="88"/>
      <c r="I270" s="85"/>
      <c r="J270" s="85"/>
      <c r="K270" s="85"/>
    </row>
    <row r="271" spans="1:11" x14ac:dyDescent="0.25">
      <c r="A271" s="86"/>
      <c r="B271" s="85"/>
      <c r="C271" s="85"/>
      <c r="D271" s="85"/>
      <c r="E271" s="86"/>
      <c r="F271" s="85"/>
      <c r="G271" s="87"/>
      <c r="H271" s="88"/>
      <c r="I271" s="85"/>
      <c r="J271" s="85"/>
      <c r="K271" s="85"/>
    </row>
    <row r="272" spans="1:11" x14ac:dyDescent="0.25">
      <c r="A272" s="86"/>
      <c r="B272" s="85"/>
      <c r="C272" s="85"/>
      <c r="D272" s="85"/>
      <c r="E272" s="86"/>
      <c r="F272" s="85"/>
      <c r="G272" s="87"/>
      <c r="H272" s="88"/>
      <c r="I272" s="85"/>
      <c r="J272" s="85"/>
      <c r="K272" s="85"/>
    </row>
    <row r="273" spans="1:11" x14ac:dyDescent="0.25">
      <c r="A273" s="86"/>
      <c r="B273" s="85"/>
      <c r="C273" s="85"/>
      <c r="D273" s="85"/>
      <c r="E273" s="86"/>
      <c r="F273" s="85"/>
      <c r="G273" s="87"/>
      <c r="H273" s="88"/>
      <c r="I273" s="85"/>
      <c r="J273" s="85"/>
      <c r="K273" s="85"/>
    </row>
    <row r="274" spans="1:11" x14ac:dyDescent="0.25">
      <c r="A274" s="86"/>
      <c r="B274" s="85"/>
      <c r="C274" s="85"/>
      <c r="D274" s="85"/>
      <c r="E274" s="86"/>
      <c r="F274" s="85"/>
      <c r="G274" s="87"/>
      <c r="H274" s="88"/>
      <c r="I274" s="85"/>
      <c r="J274" s="85"/>
      <c r="K274" s="85"/>
    </row>
    <row r="275" spans="1:11" x14ac:dyDescent="0.25">
      <c r="A275" s="86"/>
      <c r="B275" s="85"/>
      <c r="C275" s="85"/>
      <c r="D275" s="85"/>
      <c r="E275" s="86"/>
      <c r="F275" s="85"/>
      <c r="G275" s="87"/>
      <c r="H275" s="88"/>
      <c r="I275" s="85"/>
      <c r="J275" s="85"/>
      <c r="K275" s="85"/>
    </row>
    <row r="276" spans="1:11" x14ac:dyDescent="0.25">
      <c r="A276" s="86"/>
      <c r="B276" s="85"/>
      <c r="C276" s="85"/>
      <c r="D276" s="85"/>
      <c r="E276" s="86"/>
      <c r="F276" s="85"/>
      <c r="G276" s="87"/>
      <c r="H276" s="88"/>
      <c r="I276" s="85"/>
      <c r="J276" s="85"/>
      <c r="K276" s="85"/>
    </row>
    <row r="277" spans="1:11" x14ac:dyDescent="0.25">
      <c r="A277" s="86"/>
      <c r="B277" s="85"/>
      <c r="C277" s="85"/>
      <c r="D277" s="85"/>
      <c r="E277" s="86"/>
      <c r="F277" s="85"/>
      <c r="G277" s="87"/>
      <c r="H277" s="88"/>
      <c r="I277" s="85"/>
      <c r="J277" s="85"/>
      <c r="K277" s="85"/>
    </row>
    <row r="278" spans="1:11" x14ac:dyDescent="0.25">
      <c r="A278" s="86"/>
      <c r="B278" s="85"/>
      <c r="C278" s="85"/>
      <c r="D278" s="85"/>
      <c r="E278" s="86"/>
      <c r="F278" s="85"/>
      <c r="G278" s="87"/>
      <c r="H278" s="88"/>
      <c r="I278" s="85"/>
      <c r="J278" s="85"/>
      <c r="K278" s="85"/>
    </row>
    <row r="279" spans="1:11" x14ac:dyDescent="0.25">
      <c r="A279" s="86"/>
      <c r="B279" s="85"/>
      <c r="C279" s="85"/>
      <c r="D279" s="85"/>
      <c r="E279" s="86"/>
      <c r="F279" s="85"/>
      <c r="G279" s="87"/>
      <c r="H279" s="88"/>
      <c r="I279" s="85"/>
      <c r="J279" s="85"/>
      <c r="K279" s="85"/>
    </row>
    <row r="280" spans="1:11" x14ac:dyDescent="0.25">
      <c r="A280" s="86"/>
      <c r="B280" s="85"/>
      <c r="C280" s="85"/>
      <c r="D280" s="85"/>
      <c r="E280" s="86"/>
      <c r="F280" s="85"/>
      <c r="G280" s="87"/>
      <c r="H280" s="88"/>
      <c r="I280" s="85"/>
      <c r="J280" s="85"/>
      <c r="K280" s="85"/>
    </row>
    <row r="281" spans="1:11" x14ac:dyDescent="0.25">
      <c r="A281" s="86"/>
      <c r="B281" s="85"/>
      <c r="C281" s="85"/>
      <c r="D281" s="85"/>
      <c r="E281" s="86"/>
      <c r="F281" s="85"/>
      <c r="G281" s="87"/>
      <c r="H281" s="88"/>
      <c r="I281" s="85"/>
      <c r="J281" s="85"/>
      <c r="K281" s="85"/>
    </row>
    <row r="282" spans="1:11" x14ac:dyDescent="0.25">
      <c r="A282" s="86"/>
      <c r="B282" s="85"/>
      <c r="C282" s="85"/>
      <c r="D282" s="85"/>
      <c r="E282" s="86"/>
      <c r="F282" s="85"/>
      <c r="G282" s="87"/>
      <c r="H282" s="88"/>
      <c r="I282" s="85"/>
      <c r="J282" s="85"/>
      <c r="K282" s="85"/>
    </row>
    <row r="283" spans="1:11" x14ac:dyDescent="0.25">
      <c r="A283" s="86"/>
      <c r="B283" s="85"/>
      <c r="C283" s="85"/>
      <c r="D283" s="85"/>
      <c r="E283" s="86"/>
      <c r="F283" s="85"/>
      <c r="G283" s="87"/>
      <c r="H283" s="88"/>
      <c r="I283" s="85"/>
      <c r="J283" s="85"/>
      <c r="K283" s="85"/>
    </row>
    <row r="284" spans="1:11" x14ac:dyDescent="0.25">
      <c r="A284" s="86"/>
      <c r="B284" s="85"/>
      <c r="C284" s="85"/>
      <c r="D284" s="85"/>
      <c r="E284" s="86"/>
      <c r="F284" s="85"/>
      <c r="G284" s="87"/>
      <c r="H284" s="88"/>
      <c r="I284" s="85"/>
      <c r="J284" s="85"/>
      <c r="K284" s="85"/>
    </row>
    <row r="285" spans="1:11" x14ac:dyDescent="0.25">
      <c r="A285" s="86"/>
      <c r="B285" s="85"/>
      <c r="C285" s="85"/>
      <c r="D285" s="85"/>
      <c r="E285" s="86"/>
      <c r="F285" s="85"/>
      <c r="G285" s="87"/>
      <c r="H285" s="88"/>
      <c r="I285" s="85"/>
      <c r="J285" s="85"/>
      <c r="K285" s="85"/>
    </row>
    <row r="286" spans="1:11" x14ac:dyDescent="0.25">
      <c r="A286" s="86"/>
      <c r="B286" s="85"/>
      <c r="C286" s="85"/>
      <c r="D286" s="85"/>
      <c r="E286" s="86"/>
      <c r="F286" s="85"/>
      <c r="G286" s="87"/>
      <c r="H286" s="88"/>
      <c r="I286" s="85"/>
      <c r="J286" s="85"/>
      <c r="K286" s="85"/>
    </row>
    <row r="287" spans="1:11" x14ac:dyDescent="0.25">
      <c r="A287" s="86"/>
      <c r="B287" s="85"/>
      <c r="C287" s="85"/>
      <c r="D287" s="85"/>
      <c r="E287" s="86"/>
      <c r="F287" s="85"/>
      <c r="G287" s="87"/>
      <c r="H287" s="88"/>
      <c r="I287" s="85"/>
      <c r="J287" s="85"/>
      <c r="K287" s="85"/>
    </row>
    <row r="288" spans="1:11" x14ac:dyDescent="0.25">
      <c r="A288" s="86"/>
      <c r="B288" s="85"/>
      <c r="C288" s="85"/>
      <c r="D288" s="85"/>
      <c r="E288" s="86"/>
      <c r="F288" s="85"/>
      <c r="G288" s="87"/>
      <c r="H288" s="88"/>
      <c r="I288" s="85"/>
      <c r="J288" s="85"/>
      <c r="K288" s="85"/>
    </row>
    <row r="289" spans="1:11" x14ac:dyDescent="0.25">
      <c r="A289" s="86"/>
      <c r="B289" s="85"/>
      <c r="C289" s="85"/>
      <c r="D289" s="85"/>
      <c r="E289" s="86"/>
      <c r="F289" s="85"/>
      <c r="G289" s="87"/>
      <c r="H289" s="88"/>
      <c r="I289" s="85"/>
      <c r="J289" s="85"/>
      <c r="K289" s="85"/>
    </row>
    <row r="290" spans="1:11" x14ac:dyDescent="0.25">
      <c r="A290" s="86"/>
      <c r="B290" s="85"/>
      <c r="C290" s="85"/>
      <c r="D290" s="85"/>
      <c r="E290" s="86"/>
      <c r="F290" s="85"/>
      <c r="G290" s="87"/>
      <c r="H290" s="88"/>
      <c r="I290" s="85"/>
      <c r="J290" s="85"/>
      <c r="K290" s="85"/>
    </row>
    <row r="291" spans="1:11" x14ac:dyDescent="0.25">
      <c r="A291" s="86"/>
      <c r="B291" s="85"/>
      <c r="C291" s="85"/>
      <c r="D291" s="85"/>
      <c r="E291" s="86"/>
      <c r="F291" s="85"/>
      <c r="G291" s="87"/>
      <c r="H291" s="88"/>
      <c r="I291" s="85"/>
      <c r="J291" s="85"/>
      <c r="K291" s="85"/>
    </row>
    <row r="292" spans="1:11" x14ac:dyDescent="0.25">
      <c r="A292" s="86"/>
      <c r="B292" s="85"/>
      <c r="C292" s="85"/>
      <c r="D292" s="85"/>
      <c r="E292" s="86"/>
      <c r="F292" s="85"/>
      <c r="G292" s="87"/>
      <c r="H292" s="88"/>
      <c r="I292" s="85"/>
      <c r="J292" s="85"/>
      <c r="K292" s="85"/>
    </row>
    <row r="293" spans="1:11" x14ac:dyDescent="0.25">
      <c r="A293" s="86"/>
      <c r="B293" s="85"/>
      <c r="C293" s="85"/>
      <c r="D293" s="85"/>
      <c r="E293" s="86"/>
      <c r="F293" s="85"/>
      <c r="G293" s="87"/>
      <c r="H293" s="88"/>
      <c r="I293" s="85"/>
      <c r="J293" s="85"/>
      <c r="K293" s="85"/>
    </row>
    <row r="294" spans="1:11" x14ac:dyDescent="0.25">
      <c r="A294" s="86"/>
      <c r="B294" s="85"/>
      <c r="C294" s="85"/>
      <c r="D294" s="85"/>
      <c r="E294" s="86"/>
      <c r="F294" s="85"/>
      <c r="G294" s="87"/>
      <c r="H294" s="88"/>
      <c r="I294" s="85"/>
      <c r="J294" s="85"/>
      <c r="K294" s="85"/>
    </row>
    <row r="295" spans="1:11" x14ac:dyDescent="0.25">
      <c r="A295" s="86"/>
      <c r="B295" s="85"/>
      <c r="C295" s="85"/>
      <c r="D295" s="85"/>
      <c r="E295" s="86"/>
      <c r="F295" s="85"/>
      <c r="G295" s="87"/>
      <c r="H295" s="88"/>
      <c r="I295" s="85"/>
      <c r="J295" s="85"/>
      <c r="K295" s="85"/>
    </row>
    <row r="296" spans="1:11" x14ac:dyDescent="0.25">
      <c r="A296" s="86"/>
      <c r="B296" s="85"/>
      <c r="C296" s="85"/>
      <c r="D296" s="85"/>
      <c r="E296" s="86"/>
      <c r="F296" s="85"/>
      <c r="G296" s="87"/>
      <c r="H296" s="88"/>
      <c r="I296" s="85"/>
      <c r="J296" s="85"/>
      <c r="K296" s="85"/>
    </row>
    <row r="297" spans="1:11" x14ac:dyDescent="0.25">
      <c r="A297" s="86"/>
      <c r="B297" s="85"/>
      <c r="C297" s="85"/>
      <c r="D297" s="85"/>
      <c r="E297" s="86"/>
      <c r="F297" s="85"/>
      <c r="G297" s="87"/>
      <c r="H297" s="88"/>
      <c r="I297" s="85"/>
      <c r="J297" s="85"/>
      <c r="K297" s="85"/>
    </row>
    <row r="298" spans="1:11" x14ac:dyDescent="0.25">
      <c r="A298" s="86"/>
      <c r="B298" s="85"/>
      <c r="C298" s="85"/>
      <c r="D298" s="85"/>
      <c r="E298" s="86"/>
      <c r="F298" s="85"/>
      <c r="G298" s="87"/>
      <c r="H298" s="88"/>
      <c r="I298" s="85"/>
      <c r="J298" s="85"/>
      <c r="K298" s="85"/>
    </row>
    <row r="299" spans="1:11" x14ac:dyDescent="0.25">
      <c r="A299" s="86"/>
      <c r="B299" s="85"/>
      <c r="C299" s="85"/>
      <c r="D299" s="85"/>
      <c r="E299" s="86"/>
      <c r="F299" s="85"/>
      <c r="G299" s="87"/>
      <c r="H299" s="88"/>
      <c r="I299" s="85"/>
      <c r="J299" s="85"/>
      <c r="K299" s="85"/>
    </row>
    <row r="300" spans="1:11" x14ac:dyDescent="0.25">
      <c r="A300" s="86"/>
      <c r="B300" s="85"/>
      <c r="C300" s="85"/>
      <c r="D300" s="85"/>
      <c r="E300" s="86"/>
      <c r="F300" s="85"/>
      <c r="G300" s="87"/>
      <c r="H300" s="88"/>
      <c r="I300" s="85"/>
      <c r="J300" s="85"/>
      <c r="K300" s="85"/>
    </row>
    <row r="301" spans="1:11" x14ac:dyDescent="0.25">
      <c r="A301" s="86"/>
      <c r="B301" s="85"/>
      <c r="C301" s="85"/>
      <c r="D301" s="85"/>
      <c r="E301" s="86"/>
      <c r="F301" s="85"/>
      <c r="G301" s="87"/>
      <c r="H301" s="88"/>
      <c r="I301" s="85"/>
      <c r="J301" s="85"/>
      <c r="K301" s="85"/>
    </row>
    <row r="302" spans="1:11" x14ac:dyDescent="0.25">
      <c r="A302" s="86"/>
      <c r="B302" s="85"/>
      <c r="C302" s="85"/>
      <c r="D302" s="85"/>
      <c r="E302" s="86"/>
      <c r="F302" s="85"/>
      <c r="G302" s="87"/>
      <c r="H302" s="88"/>
      <c r="I302" s="85"/>
      <c r="J302" s="85"/>
      <c r="K302" s="85"/>
    </row>
    <row r="303" spans="1:11" x14ac:dyDescent="0.25">
      <c r="A303" s="86"/>
      <c r="B303" s="85"/>
      <c r="C303" s="85"/>
      <c r="D303" s="85"/>
      <c r="E303" s="86"/>
      <c r="F303" s="85"/>
      <c r="G303" s="87"/>
      <c r="H303" s="88"/>
      <c r="I303" s="85"/>
      <c r="J303" s="85"/>
      <c r="K303" s="85"/>
    </row>
    <row r="304" spans="1:11" x14ac:dyDescent="0.25">
      <c r="A304" s="86"/>
      <c r="B304" s="85"/>
      <c r="C304" s="85"/>
      <c r="D304" s="85"/>
      <c r="E304" s="86"/>
      <c r="F304" s="85"/>
      <c r="G304" s="87"/>
      <c r="H304" s="88"/>
      <c r="I304" s="85"/>
      <c r="J304" s="85"/>
      <c r="K304" s="85"/>
    </row>
    <row r="305" spans="1:11" x14ac:dyDescent="0.25">
      <c r="A305" s="86"/>
      <c r="B305" s="85"/>
      <c r="C305" s="85"/>
      <c r="D305" s="85"/>
      <c r="E305" s="86"/>
      <c r="F305" s="85"/>
      <c r="G305" s="87"/>
      <c r="H305" s="88"/>
      <c r="I305" s="85"/>
      <c r="J305" s="85"/>
      <c r="K305" s="85"/>
    </row>
    <row r="306" spans="1:11" x14ac:dyDescent="0.25">
      <c r="A306" s="86"/>
      <c r="B306" s="85"/>
      <c r="C306" s="85"/>
      <c r="D306" s="85"/>
      <c r="E306" s="86"/>
      <c r="F306" s="85"/>
      <c r="G306" s="87"/>
      <c r="H306" s="88"/>
      <c r="I306" s="85"/>
      <c r="J306" s="85"/>
      <c r="K306" s="85"/>
    </row>
    <row r="307" spans="1:11" x14ac:dyDescent="0.25">
      <c r="A307" s="86"/>
      <c r="B307" s="85"/>
      <c r="C307" s="85"/>
      <c r="D307" s="85"/>
      <c r="E307" s="86"/>
      <c r="F307" s="85"/>
      <c r="G307" s="87"/>
      <c r="H307" s="88"/>
      <c r="I307" s="85"/>
      <c r="J307" s="85"/>
      <c r="K307" s="85"/>
    </row>
    <row r="308" spans="1:11" x14ac:dyDescent="0.25">
      <c r="A308" s="86"/>
      <c r="B308" s="85"/>
      <c r="C308" s="85"/>
      <c r="D308" s="85"/>
      <c r="E308" s="86"/>
      <c r="F308" s="85"/>
      <c r="G308" s="87"/>
      <c r="H308" s="88"/>
      <c r="I308" s="85"/>
      <c r="J308" s="85"/>
      <c r="K308" s="85"/>
    </row>
    <row r="309" spans="1:11" x14ac:dyDescent="0.25">
      <c r="A309" s="86"/>
      <c r="B309" s="85"/>
      <c r="C309" s="85"/>
      <c r="D309" s="85"/>
      <c r="E309" s="86"/>
      <c r="F309" s="85"/>
      <c r="G309" s="87"/>
      <c r="H309" s="88"/>
      <c r="I309" s="85"/>
      <c r="J309" s="85"/>
      <c r="K309" s="85"/>
    </row>
    <row r="310" spans="1:11" x14ac:dyDescent="0.25">
      <c r="A310" s="86"/>
      <c r="B310" s="85"/>
      <c r="C310" s="85"/>
      <c r="D310" s="85"/>
      <c r="E310" s="86"/>
      <c r="F310" s="85"/>
      <c r="G310" s="87"/>
      <c r="H310" s="88"/>
      <c r="I310" s="85"/>
      <c r="J310" s="85"/>
      <c r="K310" s="85"/>
    </row>
    <row r="311" spans="1:11" x14ac:dyDescent="0.25">
      <c r="A311" s="86"/>
      <c r="B311" s="85"/>
      <c r="C311" s="85"/>
      <c r="D311" s="85"/>
      <c r="E311" s="86"/>
      <c r="F311" s="85"/>
      <c r="G311" s="87"/>
      <c r="H311" s="88"/>
      <c r="I311" s="85"/>
      <c r="J311" s="85"/>
      <c r="K311" s="85"/>
    </row>
    <row r="312" spans="1:11" x14ac:dyDescent="0.25">
      <c r="A312" s="86"/>
      <c r="B312" s="85"/>
      <c r="C312" s="85"/>
      <c r="D312" s="85"/>
      <c r="E312" s="86"/>
      <c r="F312" s="85"/>
      <c r="G312" s="87"/>
      <c r="H312" s="88"/>
      <c r="I312" s="85"/>
      <c r="J312" s="85"/>
      <c r="K312" s="85"/>
    </row>
    <row r="313" spans="1:11" x14ac:dyDescent="0.25">
      <c r="A313" s="86"/>
      <c r="B313" s="85"/>
      <c r="C313" s="85"/>
      <c r="D313" s="85"/>
      <c r="E313" s="86"/>
      <c r="F313" s="85"/>
      <c r="G313" s="87"/>
      <c r="H313" s="88"/>
      <c r="I313" s="85"/>
      <c r="J313" s="85"/>
      <c r="K313" s="85"/>
    </row>
    <row r="314" spans="1:11" x14ac:dyDescent="0.25">
      <c r="A314" s="86"/>
      <c r="B314" s="85"/>
      <c r="C314" s="85"/>
      <c r="D314" s="85"/>
      <c r="E314" s="86"/>
      <c r="F314" s="85"/>
      <c r="G314" s="87"/>
      <c r="H314" s="88"/>
      <c r="I314" s="85"/>
      <c r="J314" s="85"/>
      <c r="K314" s="85"/>
    </row>
    <row r="315" spans="1:11" x14ac:dyDescent="0.25">
      <c r="A315" s="86"/>
      <c r="B315" s="85"/>
      <c r="C315" s="85"/>
      <c r="D315" s="85"/>
      <c r="E315" s="86"/>
      <c r="F315" s="85"/>
      <c r="G315" s="87"/>
      <c r="H315" s="88"/>
      <c r="I315" s="85"/>
      <c r="J315" s="85"/>
      <c r="K315" s="85"/>
    </row>
    <row r="316" spans="1:11" x14ac:dyDescent="0.25">
      <c r="A316" s="86"/>
      <c r="B316" s="85"/>
      <c r="C316" s="85"/>
      <c r="D316" s="85"/>
      <c r="E316" s="86"/>
      <c r="F316" s="85"/>
      <c r="G316" s="87"/>
      <c r="H316" s="88"/>
      <c r="I316" s="85"/>
      <c r="J316" s="85"/>
      <c r="K316" s="85"/>
    </row>
    <row r="317" spans="1:11" x14ac:dyDescent="0.25">
      <c r="A317" s="86"/>
      <c r="B317" s="85"/>
      <c r="C317" s="85"/>
      <c r="D317" s="85"/>
      <c r="E317" s="86"/>
      <c r="F317" s="85"/>
      <c r="G317" s="87"/>
      <c r="H317" s="88"/>
      <c r="I317" s="85"/>
      <c r="J317" s="85"/>
      <c r="K317" s="85"/>
    </row>
    <row r="318" spans="1:11" x14ac:dyDescent="0.25">
      <c r="A318" s="86"/>
      <c r="B318" s="85"/>
      <c r="C318" s="85"/>
      <c r="D318" s="85"/>
      <c r="E318" s="86"/>
      <c r="F318" s="85"/>
      <c r="G318" s="87"/>
      <c r="H318" s="88"/>
      <c r="I318" s="85"/>
      <c r="J318" s="85"/>
      <c r="K318" s="85"/>
    </row>
    <row r="319" spans="1:11" x14ac:dyDescent="0.25">
      <c r="A319" s="86"/>
      <c r="B319" s="85"/>
      <c r="C319" s="85"/>
      <c r="D319" s="85"/>
      <c r="E319" s="86"/>
      <c r="F319" s="85"/>
      <c r="G319" s="87"/>
      <c r="H319" s="88"/>
      <c r="I319" s="85"/>
      <c r="J319" s="85"/>
      <c r="K319" s="85"/>
    </row>
    <row r="320" spans="1:11" x14ac:dyDescent="0.25">
      <c r="A320" s="86"/>
      <c r="B320" s="85"/>
      <c r="C320" s="85"/>
      <c r="D320" s="85"/>
      <c r="E320" s="86"/>
      <c r="F320" s="85"/>
      <c r="G320" s="87"/>
      <c r="H320" s="88"/>
      <c r="I320" s="85"/>
      <c r="J320" s="85"/>
      <c r="K320" s="85"/>
    </row>
    <row r="321" spans="1:11" x14ac:dyDescent="0.25">
      <c r="A321" s="86"/>
      <c r="B321" s="85"/>
      <c r="C321" s="85"/>
      <c r="D321" s="85"/>
      <c r="E321" s="86"/>
      <c r="F321" s="85"/>
      <c r="G321" s="87"/>
      <c r="H321" s="88"/>
      <c r="I321" s="85"/>
      <c r="J321" s="85"/>
      <c r="K321" s="85"/>
    </row>
    <row r="322" spans="1:11" x14ac:dyDescent="0.25">
      <c r="A322" s="86"/>
      <c r="B322" s="85"/>
      <c r="C322" s="85"/>
      <c r="D322" s="85"/>
      <c r="E322" s="86"/>
      <c r="F322" s="85"/>
      <c r="G322" s="87"/>
      <c r="H322" s="88"/>
      <c r="I322" s="85"/>
      <c r="J322" s="85"/>
      <c r="K322" s="85"/>
    </row>
    <row r="323" spans="1:11" x14ac:dyDescent="0.25">
      <c r="A323" s="86"/>
      <c r="B323" s="85"/>
      <c r="C323" s="85"/>
      <c r="D323" s="85"/>
      <c r="E323" s="86"/>
      <c r="F323" s="85"/>
      <c r="G323" s="87"/>
      <c r="H323" s="88"/>
      <c r="I323" s="85"/>
      <c r="J323" s="85"/>
      <c r="K323" s="85"/>
    </row>
    <row r="324" spans="1:11" x14ac:dyDescent="0.25">
      <c r="A324" s="86"/>
      <c r="B324" s="85"/>
      <c r="C324" s="85"/>
      <c r="D324" s="85"/>
      <c r="E324" s="86"/>
      <c r="F324" s="85"/>
      <c r="G324" s="87"/>
      <c r="H324" s="88"/>
      <c r="I324" s="85"/>
      <c r="J324" s="85"/>
      <c r="K324" s="85"/>
    </row>
    <row r="325" spans="1:11" x14ac:dyDescent="0.25">
      <c r="A325" s="86"/>
      <c r="B325" s="85"/>
      <c r="C325" s="85"/>
      <c r="D325" s="85"/>
      <c r="E325" s="86"/>
      <c r="F325" s="85"/>
      <c r="G325" s="87"/>
      <c r="H325" s="88"/>
      <c r="I325" s="85"/>
      <c r="J325" s="85"/>
      <c r="K325" s="85"/>
    </row>
    <row r="326" spans="1:11" x14ac:dyDescent="0.25">
      <c r="A326" s="86"/>
      <c r="B326" s="85"/>
      <c r="C326" s="85"/>
      <c r="D326" s="85"/>
      <c r="E326" s="86"/>
      <c r="F326" s="85"/>
      <c r="G326" s="87"/>
      <c r="H326" s="88"/>
      <c r="I326" s="85"/>
      <c r="J326" s="85"/>
      <c r="K326" s="85"/>
    </row>
    <row r="327" spans="1:11" x14ac:dyDescent="0.25">
      <c r="A327" s="86"/>
      <c r="B327" s="85"/>
      <c r="C327" s="85"/>
      <c r="D327" s="85"/>
      <c r="E327" s="86"/>
      <c r="F327" s="85"/>
      <c r="G327" s="87"/>
      <c r="H327" s="88"/>
      <c r="I327" s="85"/>
      <c r="J327" s="85"/>
      <c r="K327" s="85"/>
    </row>
    <row r="328" spans="1:11" x14ac:dyDescent="0.25">
      <c r="A328" s="86"/>
      <c r="B328" s="85"/>
      <c r="C328" s="85"/>
      <c r="D328" s="85"/>
      <c r="E328" s="86"/>
      <c r="F328" s="85"/>
      <c r="G328" s="87"/>
      <c r="H328" s="88"/>
      <c r="I328" s="85"/>
      <c r="J328" s="85"/>
      <c r="K328" s="85"/>
    </row>
    <row r="329" spans="1:11" x14ac:dyDescent="0.25">
      <c r="A329" s="86"/>
      <c r="B329" s="85"/>
      <c r="C329" s="85"/>
      <c r="D329" s="85"/>
      <c r="E329" s="86"/>
      <c r="F329" s="85"/>
      <c r="G329" s="87"/>
      <c r="H329" s="88"/>
      <c r="I329" s="85"/>
      <c r="J329" s="85"/>
      <c r="K329" s="85"/>
    </row>
    <row r="330" spans="1:11" x14ac:dyDescent="0.25">
      <c r="A330" s="86"/>
      <c r="B330" s="85"/>
      <c r="C330" s="85"/>
      <c r="D330" s="85"/>
      <c r="E330" s="86"/>
      <c r="F330" s="85"/>
      <c r="G330" s="87"/>
      <c r="H330" s="88"/>
      <c r="I330" s="85"/>
      <c r="J330" s="85"/>
      <c r="K330" s="85"/>
    </row>
    <row r="331" spans="1:11" x14ac:dyDescent="0.25">
      <c r="A331" s="86"/>
      <c r="B331" s="85"/>
      <c r="C331" s="85"/>
      <c r="D331" s="85"/>
      <c r="E331" s="86"/>
      <c r="F331" s="85"/>
      <c r="G331" s="87"/>
      <c r="H331" s="88"/>
      <c r="I331" s="85"/>
      <c r="J331" s="85"/>
      <c r="K331" s="85"/>
    </row>
    <row r="332" spans="1:11" x14ac:dyDescent="0.25">
      <c r="A332" s="86"/>
      <c r="B332" s="85"/>
      <c r="C332" s="85"/>
      <c r="D332" s="85"/>
      <c r="E332" s="86"/>
      <c r="F332" s="85"/>
      <c r="G332" s="87"/>
      <c r="H332" s="88"/>
      <c r="I332" s="85"/>
      <c r="J332" s="85"/>
      <c r="K332" s="85"/>
    </row>
    <row r="333" spans="1:11" x14ac:dyDescent="0.25">
      <c r="A333" s="86"/>
      <c r="B333" s="85"/>
      <c r="C333" s="85"/>
      <c r="D333" s="85"/>
      <c r="E333" s="86"/>
      <c r="F333" s="85"/>
      <c r="G333" s="87"/>
      <c r="H333" s="88"/>
      <c r="I333" s="85"/>
      <c r="J333" s="85"/>
      <c r="K333" s="85"/>
    </row>
    <row r="334" spans="1:11" x14ac:dyDescent="0.25">
      <c r="A334" s="86"/>
      <c r="B334" s="85"/>
      <c r="C334" s="85"/>
      <c r="D334" s="85"/>
      <c r="E334" s="86"/>
      <c r="F334" s="85"/>
      <c r="G334" s="87"/>
      <c r="H334" s="88"/>
      <c r="I334" s="85"/>
      <c r="J334" s="85"/>
      <c r="K334" s="85"/>
    </row>
    <row r="335" spans="1:11" x14ac:dyDescent="0.25">
      <c r="A335" s="86"/>
      <c r="B335" s="85"/>
      <c r="C335" s="85"/>
      <c r="D335" s="85"/>
      <c r="E335" s="86"/>
      <c r="F335" s="85"/>
      <c r="G335" s="87"/>
      <c r="H335" s="88"/>
      <c r="I335" s="85"/>
      <c r="J335" s="85"/>
      <c r="K335" s="85"/>
    </row>
    <row r="336" spans="1:11" x14ac:dyDescent="0.25">
      <c r="A336" s="86"/>
      <c r="B336" s="85"/>
      <c r="C336" s="85"/>
      <c r="D336" s="85"/>
      <c r="E336" s="86"/>
      <c r="F336" s="85"/>
      <c r="G336" s="87"/>
      <c r="H336" s="88"/>
      <c r="I336" s="85"/>
      <c r="J336" s="85"/>
      <c r="K336" s="85"/>
    </row>
    <row r="337" spans="1:11" x14ac:dyDescent="0.25">
      <c r="A337" s="86"/>
      <c r="B337" s="85"/>
      <c r="C337" s="85"/>
      <c r="D337" s="85"/>
      <c r="E337" s="86"/>
      <c r="F337" s="85"/>
      <c r="G337" s="87"/>
      <c r="H337" s="88"/>
      <c r="I337" s="85"/>
      <c r="J337" s="85"/>
      <c r="K337" s="85"/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март</vt:lpstr>
      <vt:lpstr>апрель</vt:lpstr>
      <vt:lpstr>май</vt:lpstr>
      <vt:lpstr>июнь</vt:lpstr>
      <vt:lpstr>июль</vt:lpstr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Режим</dc:creator>
  <cp:lastModifiedBy>Режим1</cp:lastModifiedBy>
  <dcterms:created xsi:type="dcterms:W3CDTF">2021-04-16T04:59:45Z</dcterms:created>
  <dcterms:modified xsi:type="dcterms:W3CDTF">2021-09-16T05:47:02Z</dcterms:modified>
</cp:coreProperties>
</file>